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dmhipp-my.sharepoint.com/personal/francesca_rosso_hipp_it/Documents/Desktop/"/>
    </mc:Choice>
  </mc:AlternateContent>
  <xr:revisionPtr revIDLastSave="97" documentId="11_F25DC773A252ABDACC10484A19D855D85BDE58EC" xr6:coauthVersionLast="47" xr6:coauthVersionMax="47" xr10:uidLastSave="{0B545CED-145F-4ED7-A9FD-E41A1741925E}"/>
  <bookViews>
    <workbookView xWindow="-110" yWindow="-110" windowWidth="19420" windowHeight="11500" xr2:uid="{00000000-000D-0000-FFFF-FFFF00000000}"/>
  </bookViews>
  <sheets>
    <sheet name="listino baby care " sheetId="1" r:id="rId1"/>
    <sheet name="listino salviette" sheetId="2" r:id="rId2"/>
    <sheet name="listino latte " sheetId="3" r:id="rId3"/>
    <sheet name="listino integrator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4" l="1"/>
  <c r="O17" i="4"/>
  <c r="N17" i="4"/>
  <c r="P16" i="4"/>
  <c r="O16" i="4"/>
  <c r="N16" i="4"/>
  <c r="P14" i="4"/>
  <c r="O14" i="4"/>
  <c r="P13" i="4"/>
  <c r="O13" i="4"/>
  <c r="P12" i="4"/>
  <c r="O12" i="4"/>
  <c r="P11" i="4"/>
  <c r="O11" i="4"/>
  <c r="P10" i="4"/>
  <c r="O10" i="4"/>
  <c r="P9" i="4"/>
  <c r="O9" i="4"/>
  <c r="P7" i="4"/>
  <c r="N7" i="4"/>
  <c r="P6" i="4"/>
  <c r="N6" i="4"/>
  <c r="P5" i="4"/>
  <c r="N5" i="4"/>
  <c r="Q6" i="4" l="1"/>
  <c r="Q12" i="4"/>
  <c r="Q13" i="4"/>
  <c r="Q9" i="4"/>
  <c r="Q11" i="4"/>
  <c r="Q10" i="4"/>
  <c r="Q16" i="4"/>
  <c r="Q5" i="4"/>
  <c r="Q7" i="4"/>
  <c r="Q14" i="4"/>
  <c r="Q17" i="4"/>
  <c r="F24" i="3" l="1"/>
  <c r="I24" i="3" s="1"/>
  <c r="F23" i="3"/>
  <c r="I23" i="3" s="1"/>
  <c r="I20" i="3"/>
  <c r="M20" i="3" s="1"/>
  <c r="O20" i="3" s="1"/>
  <c r="I19" i="3"/>
  <c r="M19" i="3" s="1"/>
  <c r="N19" i="3" s="1"/>
  <c r="O19" i="3" s="1"/>
  <c r="I18" i="3"/>
  <c r="M18" i="3" s="1"/>
  <c r="O18" i="3" s="1"/>
  <c r="I16" i="3"/>
  <c r="J16" i="3" s="1"/>
  <c r="I15" i="3"/>
  <c r="M15" i="3" s="1"/>
  <c r="O15" i="3" s="1"/>
  <c r="I14" i="3"/>
  <c r="M14" i="3" s="1"/>
  <c r="O14" i="3" s="1"/>
  <c r="I12" i="3"/>
  <c r="M12" i="3" s="1"/>
  <c r="O12" i="3" s="1"/>
  <c r="I11" i="3"/>
  <c r="M11" i="3" s="1"/>
  <c r="O11" i="3" s="1"/>
  <c r="I10" i="3"/>
  <c r="M10" i="3" s="1"/>
  <c r="O10" i="3" s="1"/>
  <c r="I8" i="3"/>
  <c r="M8" i="3" s="1"/>
  <c r="N8" i="3" s="1"/>
  <c r="O8" i="3" s="1"/>
  <c r="I7" i="3"/>
  <c r="M7" i="3" s="1"/>
  <c r="N7" i="3" s="1"/>
  <c r="O7" i="3" s="1"/>
  <c r="I6" i="3"/>
  <c r="M6" i="3" s="1"/>
  <c r="O6" i="3" s="1"/>
  <c r="J19" i="3" l="1"/>
  <c r="M16" i="3"/>
  <c r="N16" i="3" s="1"/>
  <c r="O16" i="3" s="1"/>
  <c r="J12" i="3"/>
  <c r="I25" i="2"/>
  <c r="N25" i="2" s="1"/>
  <c r="P25" i="2" s="1"/>
  <c r="I24" i="2"/>
  <c r="N24" i="2" s="1"/>
  <c r="P24" i="2" s="1"/>
  <c r="I23" i="2"/>
  <c r="N23" i="2" s="1"/>
  <c r="P23" i="2" s="1"/>
  <c r="I22" i="2"/>
  <c r="N22" i="2" s="1"/>
  <c r="P22" i="2" s="1"/>
  <c r="I21" i="2"/>
  <c r="N21" i="2" s="1"/>
  <c r="P21" i="2" s="1"/>
  <c r="I20" i="2"/>
  <c r="N20" i="2" s="1"/>
  <c r="P20" i="2" s="1"/>
  <c r="N17" i="2"/>
  <c r="Q17" i="2" s="1"/>
  <c r="M17" i="2"/>
  <c r="N16" i="2"/>
  <c r="Q16" i="2" s="1"/>
  <c r="M16" i="2"/>
  <c r="N14" i="2"/>
  <c r="Q14" i="2" s="1"/>
  <c r="M14" i="2"/>
  <c r="N13" i="2"/>
  <c r="Q13" i="2" s="1"/>
  <c r="M13" i="2"/>
  <c r="N11" i="2"/>
  <c r="Q11" i="2" s="1"/>
  <c r="M11" i="2"/>
  <c r="N9" i="2"/>
  <c r="Q9" i="2" s="1"/>
  <c r="M9" i="2"/>
  <c r="N8" i="2"/>
  <c r="Q8" i="2" s="1"/>
  <c r="M8" i="2"/>
  <c r="N7" i="2"/>
  <c r="Q7" i="2" s="1"/>
  <c r="M7" i="2"/>
  <c r="N5" i="2"/>
  <c r="Q5" i="2" s="1"/>
  <c r="M5" i="2"/>
  <c r="O11" i="2" l="1"/>
  <c r="O9" i="2"/>
  <c r="O7" i="2"/>
  <c r="O8" i="2"/>
  <c r="J45" i="1" l="1"/>
  <c r="N45" i="1" s="1"/>
  <c r="P45" i="1" s="1"/>
  <c r="J43" i="1"/>
  <c r="N43" i="1" s="1"/>
  <c r="P43" i="1" s="1"/>
  <c r="J41" i="1"/>
  <c r="N41" i="1" s="1"/>
  <c r="P41" i="1" s="1"/>
  <c r="J39" i="1"/>
  <c r="N39" i="1" s="1"/>
  <c r="P39" i="1" s="1"/>
  <c r="N37" i="1"/>
  <c r="P37" i="1" s="1"/>
  <c r="J36" i="1"/>
  <c r="N36" i="1" s="1"/>
  <c r="P36" i="1" s="1"/>
  <c r="J35" i="1"/>
  <c r="N35" i="1" s="1"/>
  <c r="P35" i="1" s="1"/>
  <c r="J34" i="1"/>
  <c r="N34" i="1" s="1"/>
  <c r="J33" i="1"/>
  <c r="N33" i="1" s="1"/>
  <c r="J32" i="1"/>
  <c r="N32" i="1" s="1"/>
  <c r="J31" i="1"/>
  <c r="N31" i="1" s="1"/>
  <c r="N27" i="1"/>
  <c r="Q27" i="1" s="1"/>
  <c r="N26" i="1"/>
  <c r="Q26" i="1" s="1"/>
  <c r="N25" i="1"/>
  <c r="Q25" i="1" s="1"/>
  <c r="N23" i="1"/>
  <c r="Q23" i="1" s="1"/>
  <c r="I21" i="1"/>
  <c r="L21" i="1" s="1"/>
  <c r="I20" i="1"/>
  <c r="J20" i="1" s="1"/>
  <c r="K20" i="1" s="1"/>
  <c r="T19" i="1"/>
  <c r="U19" i="1" s="1"/>
  <c r="V19" i="1" s="1"/>
  <c r="O19" i="1"/>
  <c r="P19" i="1" s="1"/>
  <c r="Q19" i="1" s="1"/>
  <c r="I19" i="1"/>
  <c r="L19" i="1" s="1"/>
  <c r="T18" i="1"/>
  <c r="V18" i="1" s="1"/>
  <c r="O18" i="1"/>
  <c r="P18" i="1" s="1"/>
  <c r="Q18" i="1" s="1"/>
  <c r="I18" i="1"/>
  <c r="L18" i="1" s="1"/>
  <c r="T17" i="1"/>
  <c r="U17" i="1" s="1"/>
  <c r="V17" i="1" s="1"/>
  <c r="O17" i="1"/>
  <c r="Q17" i="1" s="1"/>
  <c r="I17" i="1"/>
  <c r="L17" i="1" s="1"/>
  <c r="T16" i="1"/>
  <c r="V16" i="1" s="1"/>
  <c r="O16" i="1"/>
  <c r="P16" i="1" s="1"/>
  <c r="Q16" i="1" s="1"/>
  <c r="I16" i="1"/>
  <c r="K16" i="1" s="1"/>
  <c r="T15" i="1"/>
  <c r="V15" i="1" s="1"/>
  <c r="O15" i="1"/>
  <c r="P15" i="1" s="1"/>
  <c r="Q15" i="1" s="1"/>
  <c r="I15" i="1"/>
  <c r="L15" i="1" s="1"/>
  <c r="T13" i="1"/>
  <c r="V13" i="1" s="1"/>
  <c r="O13" i="1"/>
  <c r="P13" i="1" s="1"/>
  <c r="Q13" i="1" s="1"/>
  <c r="I13" i="1"/>
  <c r="K13" i="1" s="1"/>
  <c r="T12" i="1"/>
  <c r="V12" i="1" s="1"/>
  <c r="O12" i="1"/>
  <c r="Q12" i="1" s="1"/>
  <c r="I12" i="1"/>
  <c r="L12" i="1" s="1"/>
  <c r="T11" i="1"/>
  <c r="U11" i="1" s="1"/>
  <c r="V11" i="1" s="1"/>
  <c r="O11" i="1"/>
  <c r="Q11" i="1" s="1"/>
  <c r="I11" i="1"/>
  <c r="J11" i="1" s="1"/>
  <c r="K11" i="1" s="1"/>
  <c r="T10" i="1"/>
  <c r="U10" i="1" s="1"/>
  <c r="V10" i="1" s="1"/>
  <c r="O10" i="1"/>
  <c r="Q10" i="1" s="1"/>
  <c r="I10" i="1"/>
  <c r="L10" i="1" s="1"/>
  <c r="T9" i="1"/>
  <c r="U9" i="1" s="1"/>
  <c r="V9" i="1" s="1"/>
  <c r="O9" i="1"/>
  <c r="P9" i="1" s="1"/>
  <c r="Q9" i="1" s="1"/>
  <c r="I9" i="1"/>
  <c r="K9" i="1" s="1"/>
  <c r="T8" i="1"/>
  <c r="V8" i="1" s="1"/>
  <c r="O8" i="1"/>
  <c r="Q8" i="1" s="1"/>
  <c r="I8" i="1"/>
  <c r="K8" i="1" s="1"/>
  <c r="T7" i="1"/>
  <c r="V7" i="1" s="1"/>
  <c r="O7" i="1"/>
  <c r="P7" i="1" s="1"/>
  <c r="Q7" i="1" s="1"/>
  <c r="I7" i="1"/>
  <c r="L7" i="1" s="1"/>
  <c r="T6" i="1"/>
  <c r="V6" i="1" s="1"/>
  <c r="O6" i="1"/>
  <c r="P6" i="1" s="1"/>
  <c r="Q6" i="1" s="1"/>
  <c r="I6" i="1"/>
  <c r="L6" i="1" s="1"/>
  <c r="T5" i="1"/>
  <c r="V5" i="1" s="1"/>
  <c r="O5" i="1"/>
  <c r="Q5" i="1" s="1"/>
  <c r="I5" i="1"/>
  <c r="L5" i="1" s="1"/>
  <c r="T4" i="1"/>
  <c r="V4" i="1" s="1"/>
  <c r="O4" i="1"/>
  <c r="Q4" i="1" s="1"/>
  <c r="I4" i="1"/>
  <c r="L4" i="1" s="1"/>
  <c r="L20" i="1" l="1"/>
  <c r="P25" i="1"/>
  <c r="L9" i="1"/>
  <c r="K6" i="1"/>
  <c r="L16" i="1"/>
  <c r="J19" i="1"/>
  <c r="K19" i="1" s="1"/>
  <c r="J5" i="1"/>
  <c r="K5" i="1" s="1"/>
  <c r="L8" i="1"/>
  <c r="K15" i="1"/>
  <c r="L11" i="1"/>
  <c r="P27" i="1"/>
  <c r="J4" i="1"/>
  <c r="K4" i="1" s="1"/>
  <c r="K7" i="1"/>
  <c r="L13" i="1"/>
  <c r="J12" i="1"/>
  <c r="K12" i="1" s="1"/>
  <c r="P26" i="1"/>
  <c r="J21" i="1"/>
  <c r="K21" i="1" s="1"/>
  <c r="J18" i="1"/>
  <c r="K18" i="1" s="1"/>
  <c r="K10" i="1"/>
  <c r="O23" i="1"/>
  <c r="P23" i="1" s="1"/>
  <c r="K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Piva Veronica</author>
    <author>Veronica Piva</author>
  </authors>
  <commentList>
    <comment ref="A31" authorId="0" shapeId="0" xr:uid="{84FCE40C-6680-4F03-8695-4614C1AE19A3}">
      <text>
        <r>
          <rPr>
            <b/>
            <sz val="9"/>
            <color indexed="81"/>
            <rFont val="Tahoma"/>
            <family val="2"/>
          </rPr>
          <t>Piva Veronica:</t>
        </r>
        <r>
          <rPr>
            <sz val="9"/>
            <color indexed="81"/>
            <rFont val="Tahoma"/>
            <family val="2"/>
          </rPr>
          <t xml:space="preserve">
6 Tartarughe
6 Foche
6 Paperelle</t>
        </r>
      </text>
    </comment>
    <comment ref="A34" authorId="1" shapeId="0" xr:uid="{FE46258F-D25A-45A2-AAE0-329BF3D74619}">
      <text>
        <r>
          <rPr>
            <b/>
            <sz val="9"/>
            <color indexed="81"/>
            <rFont val="Tahoma"/>
            <family val="2"/>
          </rPr>
          <t>Veronica Piva:</t>
        </r>
        <r>
          <rPr>
            <sz val="9"/>
            <color indexed="81"/>
            <rFont val="Tahoma"/>
            <family val="2"/>
          </rPr>
          <t xml:space="preserve">
Paperella 12
Happy Famiglia 12
Fochetta 4
Happy Ippopotamo 4
Tartaruga 6
</t>
        </r>
      </text>
    </comment>
  </commentList>
</comments>
</file>

<file path=xl/sharedStrings.xml><?xml version="1.0" encoding="utf-8"?>
<sst xmlns="http://schemas.openxmlformats.org/spreadsheetml/2006/main" count="303" uniqueCount="172">
  <si>
    <t>Formato</t>
  </si>
  <si>
    <t>Pz per Cartone</t>
  </si>
  <si>
    <t>Strati per Pallet</t>
  </si>
  <si>
    <t>Crt per Pallet</t>
  </si>
  <si>
    <t>Pz per Pallet</t>
  </si>
  <si>
    <t xml:space="preserve">Codice Minsan </t>
  </si>
  <si>
    <t>Listino 2025</t>
  </si>
  <si>
    <t>Sconto Canale</t>
  </si>
  <si>
    <t>Extra Sconto Canvass</t>
  </si>
  <si>
    <t>Min. car. per Extra Sconto Canvass</t>
  </si>
  <si>
    <t>Cessione PZ</t>
  </si>
  <si>
    <t>PVP cons. PZ</t>
  </si>
  <si>
    <t xml:space="preserve">Gamma Bagnetto </t>
  </si>
  <si>
    <t>Shampoo Delicato</t>
  </si>
  <si>
    <t>200 ml</t>
  </si>
  <si>
    <t>Shampoo con balsamo</t>
  </si>
  <si>
    <t>Bagno Delicato</t>
  </si>
  <si>
    <t>350 ml</t>
  </si>
  <si>
    <t>Bagnetto Buona notte</t>
  </si>
  <si>
    <r>
      <t xml:space="preserve">Mousse Detergente Paperella - </t>
    </r>
    <r>
      <rPr>
        <sz val="10"/>
        <color rgb="FF7030A0"/>
        <rFont val="Arial"/>
        <family val="2"/>
      </rPr>
      <t>LINEA FUN</t>
    </r>
  </si>
  <si>
    <t>250 ml</t>
  </si>
  <si>
    <r>
      <t xml:space="preserve">Ricarica Mousse Paperella - </t>
    </r>
    <r>
      <rPr>
        <sz val="10"/>
        <color rgb="FF7030A0"/>
        <rFont val="Arial"/>
        <family val="2"/>
      </rPr>
      <t>LINEA FUN</t>
    </r>
  </si>
  <si>
    <r>
      <t xml:space="preserve">Doccia Shampoo Foca - </t>
    </r>
    <r>
      <rPr>
        <sz val="10"/>
        <color rgb="FF7030A0"/>
        <rFont val="Arial"/>
        <family val="2"/>
      </rPr>
      <t>LINEA FUN</t>
    </r>
  </si>
  <si>
    <r>
      <t xml:space="preserve">Happy Bagnetto Ippopotamo - </t>
    </r>
    <r>
      <rPr>
        <sz val="10"/>
        <color rgb="FF7030A0"/>
        <rFont val="Arial"/>
        <family val="2"/>
      </rPr>
      <t>LINEA FUN</t>
    </r>
  </si>
  <si>
    <t>300 ml</t>
  </si>
  <si>
    <r>
      <t xml:space="preserve">Happy Bagnetto Formato Famiglia </t>
    </r>
    <r>
      <rPr>
        <sz val="10"/>
        <color rgb="FF7030A0"/>
        <rFont val="Arial"/>
        <family val="2"/>
      </rPr>
      <t>- LINEA FUN</t>
    </r>
  </si>
  <si>
    <t>1000 ml</t>
  </si>
  <si>
    <t>Gel Detergente Corpo e Capelli</t>
  </si>
  <si>
    <t>400 ml</t>
  </si>
  <si>
    <t xml:space="preserve">Gamma Cura della Pelle </t>
  </si>
  <si>
    <t>Latte Idratante</t>
  </si>
  <si>
    <t>Latte Nutriente</t>
  </si>
  <si>
    <t>Crema Viso e Corpo</t>
  </si>
  <si>
    <t>75 ml</t>
  </si>
  <si>
    <t>Olio Nutriente</t>
  </si>
  <si>
    <r>
      <t xml:space="preserve">Crema Idratante Tartaruga - </t>
    </r>
    <r>
      <rPr>
        <sz val="10"/>
        <color rgb="FF7030A0"/>
        <rFont val="Arial"/>
        <family val="2"/>
      </rPr>
      <t>LINEA FUN</t>
    </r>
  </si>
  <si>
    <t>100 ml</t>
  </si>
  <si>
    <t>Balsamo Labbra BIO</t>
  </si>
  <si>
    <t>4,8 g</t>
  </si>
  <si>
    <t xml:space="preserve">Crema Cambio Pannolino </t>
  </si>
  <si>
    <t>Crema Cambio Quotidiana</t>
  </si>
  <si>
    <t>IT90312</t>
  </si>
  <si>
    <t>Solari</t>
  </si>
  <si>
    <t xml:space="preserve">Spray solare </t>
  </si>
  <si>
    <t>150 ml</t>
  </si>
  <si>
    <t>IT90803</t>
  </si>
  <si>
    <t>Extra esposizione</t>
  </si>
  <si>
    <t>Pz per expo</t>
  </si>
  <si>
    <t>Tipo expo</t>
  </si>
  <si>
    <t>Modalità viaggio</t>
  </si>
  <si>
    <t>Codice HiPP</t>
  </si>
  <si>
    <t>Codice Minsan</t>
  </si>
  <si>
    <t>Codice EAN</t>
  </si>
  <si>
    <t>Extra Sconto</t>
  </si>
  <si>
    <t>N° expo</t>
  </si>
  <si>
    <t>Cessione Expo</t>
  </si>
  <si>
    <t>PVP cons. 1 PZ</t>
  </si>
  <si>
    <t>Pieni</t>
  </si>
  <si>
    <r>
      <t xml:space="preserve">Expo Linea Fun - </t>
    </r>
    <r>
      <rPr>
        <sz val="10"/>
        <color theme="7"/>
        <rFont val="Arial"/>
        <family val="2"/>
      </rPr>
      <t>LINEA FUN</t>
    </r>
    <r>
      <rPr>
        <sz val="10"/>
        <rFont val="Arial"/>
        <family val="2"/>
      </rPr>
      <t xml:space="preserve"> - 18 pz</t>
    </r>
  </si>
  <si>
    <t>Banco</t>
  </si>
  <si>
    <t>Montato</t>
  </si>
  <si>
    <t>XD100043</t>
  </si>
  <si>
    <t>Expo Balsamo Labbra BIO - 20 pz</t>
  </si>
  <si>
    <t>ITD40122</t>
  </si>
  <si>
    <t>Expo Fun Paperella + Happy Bagnetto - 36 pz</t>
  </si>
  <si>
    <t>Terra</t>
  </si>
  <si>
    <t>XD100100</t>
  </si>
  <si>
    <t>Expo Fun Gamma Completa - 38 pz</t>
  </si>
  <si>
    <t>XD100102</t>
  </si>
  <si>
    <t>Special Pack doppio Gel Detergente 6 pz</t>
  </si>
  <si>
    <t>Kit</t>
  </si>
  <si>
    <t>XA100142</t>
  </si>
  <si>
    <t>Special Pack Shampoo + Bagno Delicato 6 pz</t>
  </si>
  <si>
    <t>XA100101</t>
  </si>
  <si>
    <t>Kit Cofanetto Primi Viaggi - 3 pz</t>
  </si>
  <si>
    <t>XD100106</t>
  </si>
  <si>
    <t>Contenuto cofanetto: 1 Shampoo del. + 1 Bagno del. + 1 Latte Idrat. + 1x48 Salv. Delic.&amp;Nutri. + Borsa Viaggio</t>
  </si>
  <si>
    <t>Kit Cofanetto Primi Cambi - 4 pz</t>
  </si>
  <si>
    <t>XD100056</t>
  </si>
  <si>
    <t>Contenuto cofanetto: 1 Gel det.+ 1 Crema v&amp;c + 1 Salv. Del. 1x56pz + 1 Beauty case</t>
  </si>
  <si>
    <t>Kit Cofanetto Mussolina - 4 pz</t>
  </si>
  <si>
    <t>XD100045</t>
  </si>
  <si>
    <t>Contenuto cofanetto: 1 Shampoo del. + 1 Bagno del. + 1 Mussolina</t>
  </si>
  <si>
    <t>Kit Cofanetto Momenti di Tenerezza - 6 pz</t>
  </si>
  <si>
    <t>ITD40157</t>
  </si>
  <si>
    <t>Contenuto cofanetto: 1 Shampoo del. + 1 Bagno del. + 1 Crema v&amp;c + 1 Salv. viso&amp;mani</t>
  </si>
  <si>
    <t>Kit Cofanetto Mille Bolle Blu - 4 pz</t>
  </si>
  <si>
    <t>ITD40180</t>
  </si>
  <si>
    <t>Contenuto cofanetto: 1 Mousse Paperella + 1 Doccia shampoo Fochetta + 1 Crema Tartaruga</t>
  </si>
  <si>
    <t>Ricarico cons.</t>
  </si>
  <si>
    <t>Ric. se PVP cons = Listino</t>
  </si>
  <si>
    <t>Ricarico cons. per 1 pezzo</t>
  </si>
  <si>
    <t>LISTINO SALVIETTE HiPP: DIRETTA - Dal 01.04.25 al 30.06.25</t>
  </si>
  <si>
    <t>REFERENZA</t>
  </si>
  <si>
    <t>IVA</t>
  </si>
  <si>
    <t>Min. car. per Extra sconto</t>
  </si>
  <si>
    <t>Min. pz per Extra sconto</t>
  </si>
  <si>
    <t>Cessione Single Pack</t>
  </si>
  <si>
    <t>PVP cons. 
PZ</t>
  </si>
  <si>
    <t>Ricarico Consigliato</t>
  </si>
  <si>
    <t>Salviettine Delicate &amp; Nutrienti 1x48</t>
  </si>
  <si>
    <t>1x48 pz</t>
  </si>
  <si>
    <t>PROMO</t>
  </si>
  <si>
    <t>Salviettine Soft &amp; Pure 3x48</t>
  </si>
  <si>
    <t>3x48 pz</t>
  </si>
  <si>
    <t>Salviettine Detergenti &amp; Delicate 5x48</t>
  </si>
  <si>
    <t>5x48 pz</t>
  </si>
  <si>
    <t>Salviette Viso e Mani</t>
  </si>
  <si>
    <t>1x20 pz</t>
  </si>
  <si>
    <t>Carta Igienica Umidificata</t>
  </si>
  <si>
    <t>1x50 pz</t>
  </si>
  <si>
    <t>EXTRA ESPOSIZIONE</t>
  </si>
  <si>
    <t>Pz per Expo</t>
  </si>
  <si>
    <t>Min per Extra Sconto</t>
  </si>
  <si>
    <t>CAT. DIGITAZIONE</t>
  </si>
  <si>
    <t>Expo Salviette Delicate 1x48 (96PZ)</t>
  </si>
  <si>
    <t>ESPOSITORI</t>
  </si>
  <si>
    <t>Expo Salviettine Soft&amp;Pure 3x48pz (30PZ)</t>
  </si>
  <si>
    <t>Mezzo pallet Del. Detergenti 5x48pz (72PZ)</t>
  </si>
  <si>
    <t>Pallet Del. Detergenti 5x48pz (144PZ)</t>
  </si>
  <si>
    <t>Expo Salviettine Viso e Mani 1x20pz (99PZ)</t>
  </si>
  <si>
    <t>Expo Carta Igienica Umidificata 1x50pz (60PZ)</t>
  </si>
  <si>
    <t>LISTINO LATTE HiPP: DIRETTA - Dal 01.04.25 al 30.06.25</t>
  </si>
  <si>
    <t>Referenza</t>
  </si>
  <si>
    <t>Peso netto</t>
  </si>
  <si>
    <t>PZ per Cartone</t>
  </si>
  <si>
    <t>Bio</t>
  </si>
  <si>
    <t>Glutine</t>
  </si>
  <si>
    <t>Extra Categoria</t>
  </si>
  <si>
    <t>Min. car. per sconto Extra Cat.</t>
  </si>
  <si>
    <t>Cessione Extra Categoria PZ</t>
  </si>
  <si>
    <t>Gamma latte polvere</t>
  </si>
  <si>
    <t>Latte bio 1 per lattanti</t>
  </si>
  <si>
    <t>600 g</t>
  </si>
  <si>
    <t>2</t>
  </si>
  <si>
    <t>Latte bio 2 di proseguimento</t>
  </si>
  <si>
    <t>Latte 3 crescita</t>
  </si>
  <si>
    <t>500 g</t>
  </si>
  <si>
    <t>Gamma latte liquido Combiotic</t>
  </si>
  <si>
    <t>470 ml</t>
  </si>
  <si>
    <t>Gamma latte polvere Combiotic</t>
  </si>
  <si>
    <t>1</t>
  </si>
  <si>
    <t>Gamma Latti speciali</t>
  </si>
  <si>
    <t>Latte AR antireflusso</t>
  </si>
  <si>
    <t>Latte Comfort</t>
  </si>
  <si>
    <t>Latte HiPP 0 Dr. Baby 0</t>
  </si>
  <si>
    <t>500 ml</t>
  </si>
  <si>
    <t>DIGITAZIONE</t>
  </si>
  <si>
    <t>Expo Combiotic 2 18pz.</t>
  </si>
  <si>
    <t>Expo Combiotic 3 18pz.</t>
  </si>
  <si>
    <t>LISTINO INTEGRATORI HiPP: DIRETTA - Dal 01.04.25 al 30.06.25</t>
  </si>
  <si>
    <t>Sconto Promo</t>
  </si>
  <si>
    <t>Min. car. per sconto Promo</t>
  </si>
  <si>
    <t>Min. pz per sconto Promo</t>
  </si>
  <si>
    <t>Ricarico consigliato</t>
  </si>
  <si>
    <t>HiPP Flora</t>
  </si>
  <si>
    <t>6,5 ml</t>
  </si>
  <si>
    <t>No</t>
  </si>
  <si>
    <t>NUOVA PROMO
FLORA</t>
  </si>
  <si>
    <t>HiPP D3</t>
  </si>
  <si>
    <t>5 ml</t>
  </si>
  <si>
    <t>HiPP TRIPTO</t>
  </si>
  <si>
    <t>30 ml</t>
  </si>
  <si>
    <t>HiPP AC</t>
  </si>
  <si>
    <t>HiPP Immuno Bustine</t>
  </si>
  <si>
    <t>30 g</t>
  </si>
  <si>
    <t>HiPP Immuno Gocce</t>
  </si>
  <si>
    <t>20 ml</t>
  </si>
  <si>
    <t>HiPP DK</t>
  </si>
  <si>
    <t xml:space="preserve"> 5 ml</t>
  </si>
  <si>
    <t>HiPP AN</t>
  </si>
  <si>
    <t xml:space="preserve"> 30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</si>
</sst>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_-[$€-2]\ * #,##0.00_-;\-[$€-2]\ * #,##0.00_-;_-[$€-2]\ * &quot;-&quot;??_-;_-@_-"/>
    <numFmt numFmtId="166" formatCode="_-&quot;€&quot;\ * #,##0.00_-;\-&quot;€&quot;\ * #,##0.00_-;_-&quot;€&quot;\ * &quot;-&quot;??_-;_-@_-"/>
    <numFmt numFmtId="167" formatCode="_-[$€-410]\ * #,##0.00_-;\-[$€-410]\ * #,##0.00_-;_-[$€-410]\ * &quot;-&quot;??_-;_-@_-"/>
    <numFmt numFmtId="168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7030A0"/>
      <name val="Arial"/>
      <family val="2"/>
    </font>
    <font>
      <sz val="10"/>
      <color theme="7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1F4E7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E7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indexed="64"/>
      </top>
      <bottom/>
      <diagonal style="dashed">
        <color indexed="64"/>
      </diagonal>
    </border>
    <border diagonalUp="1">
      <left style="thin">
        <color auto="1"/>
      </left>
      <right style="thin">
        <color auto="1"/>
      </right>
      <top/>
      <bottom style="thin">
        <color indexed="64"/>
      </bottom>
      <diagonal style="dashed">
        <color indexed="64"/>
      </diagonal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</cellStyleXfs>
  <cellXfs count="441">
    <xf numFmtId="0" fontId="0" fillId="0" borderId="0" xfId="0"/>
    <xf numFmtId="0" fontId="5" fillId="0" borderId="1" xfId="4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3" xfId="3" applyNumberFormat="1" applyFont="1" applyFill="1" applyBorder="1" applyAlignment="1">
      <alignment horizontal="center" vertical="center" wrapText="1"/>
    </xf>
    <xf numFmtId="164" fontId="5" fillId="3" borderId="3" xfId="3" applyNumberFormat="1" applyFont="1" applyFill="1" applyBorder="1" applyAlignment="1">
      <alignment horizontal="center" vertical="center" wrapText="1"/>
    </xf>
    <xf numFmtId="1" fontId="5" fillId="0" borderId="3" xfId="3" applyNumberFormat="1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5" fillId="4" borderId="7" xfId="4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4" applyBorder="1" applyAlignment="1">
      <alignment horizontal="center" vertical="center" wrapText="1"/>
    </xf>
    <xf numFmtId="0" fontId="4" fillId="0" borderId="11" xfId="4" applyBorder="1" applyAlignment="1">
      <alignment horizontal="center" vertical="center" wrapText="1"/>
    </xf>
    <xf numFmtId="1" fontId="4" fillId="0" borderId="11" xfId="4" applyNumberFormat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9" fontId="4" fillId="0" borderId="11" xfId="3" applyFont="1" applyFill="1" applyBorder="1" applyAlignment="1">
      <alignment horizontal="center" vertical="center" wrapText="1"/>
    </xf>
    <xf numFmtId="164" fontId="4" fillId="3" borderId="11" xfId="3" applyNumberFormat="1" applyFont="1" applyFill="1" applyBorder="1" applyAlignment="1">
      <alignment horizontal="center" vertical="center" wrapText="1"/>
    </xf>
    <xf numFmtId="165" fontId="7" fillId="2" borderId="11" xfId="4" applyNumberFormat="1" applyFont="1" applyFill="1" applyBorder="1" applyAlignment="1">
      <alignment horizontal="center" vertical="center" wrapText="1"/>
    </xf>
    <xf numFmtId="166" fontId="4" fillId="0" borderId="15" xfId="2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4" applyBorder="1" applyAlignment="1">
      <alignment horizontal="center" vertical="center" wrapText="1"/>
    </xf>
    <xf numFmtId="0" fontId="4" fillId="0" borderId="18" xfId="4" applyBorder="1" applyAlignment="1">
      <alignment horizontal="center" vertical="center" wrapText="1"/>
    </xf>
    <xf numFmtId="165" fontId="7" fillId="2" borderId="17" xfId="0" applyNumberFormat="1" applyFont="1" applyFill="1" applyBorder="1" applyAlignment="1">
      <alignment horizontal="center" vertical="center" wrapText="1"/>
    </xf>
    <xf numFmtId="9" fontId="4" fillId="0" borderId="18" xfId="3" applyFont="1" applyFill="1" applyBorder="1" applyAlignment="1">
      <alignment horizontal="center" vertical="center" wrapText="1"/>
    </xf>
    <xf numFmtId="164" fontId="4" fillId="3" borderId="18" xfId="3" applyNumberFormat="1" applyFont="1" applyFill="1" applyBorder="1" applyAlignment="1">
      <alignment horizontal="center" vertical="center" wrapText="1"/>
    </xf>
    <xf numFmtId="165" fontId="7" fillId="2" borderId="18" xfId="4" applyNumberFormat="1" applyFont="1" applyFill="1" applyBorder="1" applyAlignment="1">
      <alignment horizontal="center" vertical="center" wrapText="1"/>
    </xf>
    <xf numFmtId="166" fontId="4" fillId="0" borderId="21" xfId="2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4" applyBorder="1" applyAlignment="1">
      <alignment horizontal="center" vertical="center" wrapText="1"/>
    </xf>
    <xf numFmtId="0" fontId="4" fillId="0" borderId="24" xfId="4" applyBorder="1" applyAlignment="1">
      <alignment horizontal="center" vertical="center" wrapText="1"/>
    </xf>
    <xf numFmtId="0" fontId="4" fillId="0" borderId="25" xfId="4" applyBorder="1" applyAlignment="1">
      <alignment horizontal="center" vertical="center" wrapText="1"/>
    </xf>
    <xf numFmtId="1" fontId="4" fillId="0" borderId="24" xfId="4" applyNumberFormat="1" applyBorder="1" applyAlignment="1">
      <alignment horizontal="center" vertical="center" wrapText="1"/>
    </xf>
    <xf numFmtId="165" fontId="7" fillId="2" borderId="23" xfId="0" applyNumberFormat="1" applyFont="1" applyFill="1" applyBorder="1" applyAlignment="1">
      <alignment horizontal="center" vertical="center" wrapText="1"/>
    </xf>
    <xf numFmtId="9" fontId="4" fillId="0" borderId="24" xfId="3" applyFont="1" applyFill="1" applyBorder="1" applyAlignment="1">
      <alignment horizontal="center" vertical="center" wrapText="1"/>
    </xf>
    <xf numFmtId="166" fontId="4" fillId="0" borderId="27" xfId="2" applyNumberFormat="1" applyFont="1" applyFill="1" applyBorder="1" applyAlignment="1">
      <alignment horizontal="center" vertical="center" wrapText="1"/>
    </xf>
    <xf numFmtId="164" fontId="4" fillId="3" borderId="24" xfId="3" applyNumberFormat="1" applyFont="1" applyFill="1" applyBorder="1" applyAlignment="1">
      <alignment horizontal="center" vertical="center" wrapText="1"/>
    </xf>
    <xf numFmtId="165" fontId="7" fillId="2" borderId="24" xfId="4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/>
    </xf>
    <xf numFmtId="0" fontId="4" fillId="0" borderId="29" xfId="4" applyBorder="1" applyAlignment="1">
      <alignment horizontal="center" vertical="center" wrapText="1"/>
    </xf>
    <xf numFmtId="0" fontId="4" fillId="0" borderId="30" xfId="4" applyBorder="1" applyAlignment="1">
      <alignment horizontal="center" vertical="center" wrapText="1"/>
    </xf>
    <xf numFmtId="165" fontId="7" fillId="2" borderId="29" xfId="0" applyNumberFormat="1" applyFont="1" applyFill="1" applyBorder="1" applyAlignment="1">
      <alignment horizontal="center" vertical="center" wrapText="1"/>
    </xf>
    <xf numFmtId="9" fontId="4" fillId="0" borderId="30" xfId="3" applyFont="1" applyFill="1" applyBorder="1" applyAlignment="1">
      <alignment horizontal="center" vertical="center" wrapText="1"/>
    </xf>
    <xf numFmtId="164" fontId="4" fillId="3" borderId="30" xfId="3" applyNumberFormat="1" applyFont="1" applyFill="1" applyBorder="1" applyAlignment="1">
      <alignment horizontal="center" vertical="center" wrapText="1"/>
    </xf>
    <xf numFmtId="165" fontId="7" fillId="2" borderId="30" xfId="4" applyNumberFormat="1" applyFont="1" applyFill="1" applyBorder="1" applyAlignment="1">
      <alignment horizontal="center" vertical="center" wrapText="1"/>
    </xf>
    <xf numFmtId="166" fontId="4" fillId="0" borderId="33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9" fontId="4" fillId="0" borderId="0" xfId="3" applyFont="1" applyFill="1" applyBorder="1" applyAlignment="1">
      <alignment horizontal="center" vertical="center" wrapText="1"/>
    </xf>
    <xf numFmtId="1" fontId="4" fillId="0" borderId="0" xfId="3" applyNumberFormat="1" applyFont="1" applyFill="1" applyBorder="1" applyAlignment="1">
      <alignment horizontal="center" vertical="center" wrapText="1"/>
    </xf>
    <xf numFmtId="166" fontId="7" fillId="0" borderId="0" xfId="5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65" fontId="7" fillId="2" borderId="23" xfId="2" applyNumberFormat="1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164" fontId="4" fillId="6" borderId="18" xfId="3" applyNumberFormat="1" applyFont="1" applyFill="1" applyBorder="1" applyAlignment="1">
      <alignment horizontal="center" vertical="center" wrapText="1"/>
    </xf>
    <xf numFmtId="1" fontId="4" fillId="0" borderId="18" xfId="3" applyNumberFormat="1" applyFont="1" applyFill="1" applyBorder="1" applyAlignment="1">
      <alignment horizontal="center" vertical="center" wrapText="1"/>
    </xf>
    <xf numFmtId="165" fontId="7" fillId="6" borderId="18" xfId="4" applyNumberFormat="1" applyFont="1" applyFill="1" applyBorder="1" applyAlignment="1">
      <alignment horizontal="center" vertical="center" wrapText="1"/>
    </xf>
    <xf numFmtId="44" fontId="4" fillId="0" borderId="21" xfId="2" applyFont="1" applyFill="1" applyBorder="1" applyAlignment="1">
      <alignment horizontal="center" vertical="center" wrapText="1"/>
    </xf>
    <xf numFmtId="164" fontId="4" fillId="6" borderId="30" xfId="3" applyNumberFormat="1" applyFont="1" applyFill="1" applyBorder="1" applyAlignment="1">
      <alignment horizontal="center" vertical="center" wrapText="1"/>
    </xf>
    <xf numFmtId="1" fontId="4" fillId="0" borderId="30" xfId="3" applyNumberFormat="1" applyFont="1" applyFill="1" applyBorder="1" applyAlignment="1">
      <alignment horizontal="center" vertical="center" wrapText="1"/>
    </xf>
    <xf numFmtId="165" fontId="7" fillId="6" borderId="30" xfId="4" applyNumberFormat="1" applyFont="1" applyFill="1" applyBorder="1" applyAlignment="1">
      <alignment horizontal="center" vertical="center" wrapText="1"/>
    </xf>
    <xf numFmtId="44" fontId="4" fillId="0" borderId="33" xfId="2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/>
    </xf>
    <xf numFmtId="167" fontId="4" fillId="0" borderId="0" xfId="3" applyNumberFormat="1" applyFont="1" applyFill="1" applyBorder="1" applyAlignment="1">
      <alignment horizontal="center" vertical="center" wrapText="1"/>
    </xf>
    <xf numFmtId="44" fontId="7" fillId="0" borderId="0" xfId="2" applyFont="1" applyFill="1" applyBorder="1" applyAlignment="1">
      <alignment horizontal="center" vertical="center" wrapText="1"/>
    </xf>
    <xf numFmtId="0" fontId="4" fillId="0" borderId="42" xfId="4" applyBorder="1" applyAlignment="1">
      <alignment horizontal="left" vertical="center"/>
    </xf>
    <xf numFmtId="0" fontId="4" fillId="0" borderId="2" xfId="4" applyBorder="1" applyAlignment="1">
      <alignment horizontal="center" vertical="center" wrapText="1"/>
    </xf>
    <xf numFmtId="0" fontId="4" fillId="0" borderId="3" xfId="4" applyBorder="1" applyAlignment="1">
      <alignment horizontal="center" vertical="center" wrapText="1"/>
    </xf>
    <xf numFmtId="0" fontId="4" fillId="0" borderId="43" xfId="4" applyBorder="1" applyAlignment="1">
      <alignment horizontal="center" vertical="center" wrapText="1"/>
    </xf>
    <xf numFmtId="1" fontId="4" fillId="0" borderId="2" xfId="4" applyNumberFormat="1" applyBorder="1" applyAlignment="1">
      <alignment horizontal="center" vertical="center" wrapText="1"/>
    </xf>
    <xf numFmtId="1" fontId="4" fillId="0" borderId="3" xfId="4" applyNumberFormat="1" applyBorder="1" applyAlignment="1">
      <alignment horizontal="center" vertical="center" wrapText="1"/>
    </xf>
    <xf numFmtId="1" fontId="4" fillId="0" borderId="4" xfId="4" applyNumberFormat="1" applyBorder="1" applyAlignment="1">
      <alignment horizontal="center" vertical="center" wrapText="1"/>
    </xf>
    <xf numFmtId="165" fontId="7" fillId="2" borderId="2" xfId="2" applyNumberFormat="1" applyFont="1" applyFill="1" applyBorder="1" applyAlignment="1">
      <alignment horizontal="center" vertical="center" wrapText="1"/>
    </xf>
    <xf numFmtId="9" fontId="4" fillId="0" borderId="3" xfId="3" applyFont="1" applyFill="1" applyBorder="1" applyAlignment="1">
      <alignment horizontal="center" vertical="center" wrapText="1"/>
    </xf>
    <xf numFmtId="164" fontId="4" fillId="0" borderId="3" xfId="3" applyNumberFormat="1" applyFont="1" applyFill="1" applyBorder="1" applyAlignment="1">
      <alignment horizontal="center" vertical="center" wrapText="1"/>
    </xf>
    <xf numFmtId="1" fontId="4" fillId="0" borderId="3" xfId="3" applyNumberFormat="1" applyFont="1" applyFill="1" applyBorder="1" applyAlignment="1">
      <alignment horizontal="center" vertical="center" wrapText="1"/>
    </xf>
    <xf numFmtId="166" fontId="7" fillId="2" borderId="3" xfId="5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164" fontId="4" fillId="6" borderId="11" xfId="3" applyNumberFormat="1" applyFont="1" applyFill="1" applyBorder="1" applyAlignment="1">
      <alignment horizontal="center" vertical="center" wrapText="1"/>
    </xf>
    <xf numFmtId="1" fontId="4" fillId="0" borderId="11" xfId="3" applyNumberFormat="1" applyFont="1" applyFill="1" applyBorder="1" applyAlignment="1">
      <alignment horizontal="center" vertical="center" wrapText="1"/>
    </xf>
    <xf numFmtId="165" fontId="7" fillId="6" borderId="11" xfId="4" applyNumberFormat="1" applyFont="1" applyFill="1" applyBorder="1" applyAlignment="1">
      <alignment horizontal="center" vertical="center" wrapText="1"/>
    </xf>
    <xf numFmtId="44" fontId="4" fillId="0" borderId="15" xfId="2" applyFont="1" applyFill="1" applyBorder="1" applyAlignment="1">
      <alignment horizontal="center" vertical="center" wrapText="1"/>
    </xf>
    <xf numFmtId="164" fontId="4" fillId="6" borderId="20" xfId="3" applyNumberFormat="1" applyFont="1" applyFill="1" applyBorder="1" applyAlignment="1">
      <alignment horizontal="center" vertical="center" wrapText="1"/>
    </xf>
    <xf numFmtId="1" fontId="4" fillId="0" borderId="20" xfId="3" applyNumberFormat="1" applyFont="1" applyFill="1" applyBorder="1" applyAlignment="1">
      <alignment horizontal="center" vertical="center" wrapText="1"/>
    </xf>
    <xf numFmtId="44" fontId="7" fillId="6" borderId="20" xfId="2" applyFont="1" applyFill="1" applyBorder="1" applyAlignment="1">
      <alignment horizontal="center" vertical="center" wrapText="1"/>
    </xf>
    <xf numFmtId="44" fontId="4" fillId="0" borderId="46" xfId="2" applyFont="1" applyFill="1" applyBorder="1" applyAlignment="1">
      <alignment horizontal="center" vertical="center" wrapText="1"/>
    </xf>
    <xf numFmtId="0" fontId="4" fillId="0" borderId="0" xfId="4" applyAlignment="1">
      <alignment horizontal="left" vertical="center"/>
    </xf>
    <xf numFmtId="0" fontId="4" fillId="0" borderId="0" xfId="4" applyAlignment="1">
      <alignment horizontal="center" vertical="center" wrapText="1"/>
    </xf>
    <xf numFmtId="1" fontId="4" fillId="0" borderId="0" xfId="4" applyNumberFormat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5" fillId="0" borderId="43" xfId="3" applyNumberFormat="1" applyFont="1" applyFill="1" applyBorder="1" applyAlignment="1">
      <alignment horizontal="center" vertical="center" wrapText="1"/>
    </xf>
    <xf numFmtId="1" fontId="5" fillId="0" borderId="6" xfId="3" applyNumberFormat="1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/>
    </xf>
    <xf numFmtId="165" fontId="7" fillId="0" borderId="0" xfId="4" applyNumberFormat="1" applyFont="1" applyAlignment="1">
      <alignment horizontal="center" vertical="center" wrapText="1"/>
    </xf>
    <xf numFmtId="164" fontId="4" fillId="0" borderId="0" xfId="3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65" fontId="7" fillId="2" borderId="10" xfId="2" applyNumberFormat="1" applyFont="1" applyFill="1" applyBorder="1" applyAlignment="1">
      <alignment horizontal="center" vertical="center" wrapText="1"/>
    </xf>
    <xf numFmtId="166" fontId="3" fillId="2" borderId="13" xfId="5" applyFont="1" applyFill="1" applyBorder="1" applyAlignment="1">
      <alignment horizontal="center" vertical="center" wrapText="1"/>
    </xf>
    <xf numFmtId="44" fontId="9" fillId="0" borderId="0" xfId="2" applyFont="1" applyFill="1" applyAlignment="1">
      <alignment horizontal="center" vertical="center" wrapText="1"/>
    </xf>
    <xf numFmtId="0" fontId="1" fillId="6" borderId="22" xfId="4" applyFont="1" applyFill="1" applyBorder="1" applyAlignment="1">
      <alignment horizontal="left" vertical="center"/>
    </xf>
    <xf numFmtId="0" fontId="1" fillId="0" borderId="23" xfId="4" applyFont="1" applyBorder="1" applyAlignment="1">
      <alignment horizontal="center" vertical="center" wrapText="1"/>
    </xf>
    <xf numFmtId="0" fontId="1" fillId="0" borderId="24" xfId="4" applyFont="1" applyBorder="1" applyAlignment="1">
      <alignment horizontal="center" vertical="center" wrapText="1"/>
    </xf>
    <xf numFmtId="1" fontId="4" fillId="0" borderId="25" xfId="4" applyNumberFormat="1" applyBorder="1" applyAlignment="1">
      <alignment horizontal="center" vertical="center" wrapText="1"/>
    </xf>
    <xf numFmtId="165" fontId="3" fillId="2" borderId="23" xfId="2" applyNumberFormat="1" applyFont="1" applyFill="1" applyBorder="1" applyAlignment="1">
      <alignment horizontal="center" vertical="center" wrapText="1"/>
    </xf>
    <xf numFmtId="9" fontId="1" fillId="6" borderId="24" xfId="3" applyFont="1" applyFill="1" applyBorder="1" applyAlignment="1">
      <alignment horizontal="center" vertical="center" wrapText="1"/>
    </xf>
    <xf numFmtId="1" fontId="1" fillId="0" borderId="24" xfId="3" applyNumberFormat="1" applyFont="1" applyFill="1" applyBorder="1" applyAlignment="1">
      <alignment horizontal="center" vertical="center" wrapText="1"/>
    </xf>
    <xf numFmtId="166" fontId="3" fillId="2" borderId="26" xfId="5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1" fontId="4" fillId="0" borderId="24" xfId="3" applyNumberFormat="1" applyFont="1" applyFill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9" xfId="4" applyBorder="1" applyAlignment="1">
      <alignment horizontal="center" vertical="center" wrapText="1"/>
    </xf>
    <xf numFmtId="1" fontId="4" fillId="0" borderId="50" xfId="0" applyNumberFormat="1" applyFont="1" applyBorder="1" applyAlignment="1">
      <alignment horizontal="center" vertical="center" wrapText="1"/>
    </xf>
    <xf numFmtId="165" fontId="7" fillId="2" borderId="48" xfId="2" applyNumberFormat="1" applyFont="1" applyFill="1" applyBorder="1" applyAlignment="1">
      <alignment horizontal="center" vertical="center" wrapText="1"/>
    </xf>
    <xf numFmtId="9" fontId="4" fillId="0" borderId="49" xfId="3" applyFont="1" applyFill="1" applyBorder="1" applyAlignment="1">
      <alignment horizontal="center" vertical="center" wrapText="1"/>
    </xf>
    <xf numFmtId="1" fontId="4" fillId="0" borderId="49" xfId="3" applyNumberFormat="1" applyFont="1" applyFill="1" applyBorder="1" applyAlignment="1">
      <alignment horizontal="center" vertical="center" wrapText="1"/>
    </xf>
    <xf numFmtId="166" fontId="3" fillId="2" borderId="51" xfId="5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/>
    </xf>
    <xf numFmtId="166" fontId="4" fillId="3" borderId="8" xfId="2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/>
    </xf>
    <xf numFmtId="166" fontId="4" fillId="3" borderId="34" xfId="2" applyNumberFormat="1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left" vertical="center"/>
    </xf>
    <xf numFmtId="165" fontId="3" fillId="2" borderId="23" xfId="2" applyNumberFormat="1" applyFont="1" applyFill="1" applyBorder="1" applyAlignment="1">
      <alignment vertical="center" wrapText="1"/>
    </xf>
    <xf numFmtId="9" fontId="1" fillId="0" borderId="24" xfId="3" applyFont="1" applyFill="1" applyBorder="1" applyAlignment="1">
      <alignment horizontal="center" vertical="center" wrapText="1"/>
    </xf>
    <xf numFmtId="166" fontId="3" fillId="2" borderId="27" xfId="5" applyFont="1" applyFill="1" applyBorder="1" applyAlignment="1">
      <alignment horizontal="center" vertical="center" wrapText="1"/>
    </xf>
    <xf numFmtId="166" fontId="4" fillId="3" borderId="52" xfId="2" applyNumberFormat="1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/>
    </xf>
    <xf numFmtId="0" fontId="12" fillId="7" borderId="53" xfId="0" applyFont="1" applyFill="1" applyBorder="1" applyAlignment="1">
      <alignment vertical="center"/>
    </xf>
    <xf numFmtId="0" fontId="12" fillId="3" borderId="53" xfId="0" applyFont="1" applyFill="1" applyBorder="1" applyAlignment="1">
      <alignment vertical="center"/>
    </xf>
    <xf numFmtId="9" fontId="12" fillId="3" borderId="53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0" fontId="4" fillId="0" borderId="52" xfId="4" applyBorder="1" applyAlignment="1">
      <alignment horizontal="center" vertical="center" wrapText="1"/>
    </xf>
    <xf numFmtId="0" fontId="4" fillId="0" borderId="36" xfId="4" applyBorder="1" applyAlignment="1">
      <alignment horizontal="center" vertical="center" wrapText="1"/>
    </xf>
    <xf numFmtId="0" fontId="12" fillId="3" borderId="54" xfId="0" applyFont="1" applyFill="1" applyBorder="1" applyAlignment="1">
      <alignment vertical="center"/>
    </xf>
    <xf numFmtId="0" fontId="12" fillId="3" borderId="55" xfId="0" applyFont="1" applyFill="1" applyBorder="1" applyAlignment="1">
      <alignment vertical="center"/>
    </xf>
    <xf numFmtId="9" fontId="12" fillId="3" borderId="55" xfId="0" applyNumberFormat="1" applyFont="1" applyFill="1" applyBorder="1" applyAlignment="1">
      <alignment vertical="center"/>
    </xf>
    <xf numFmtId="0" fontId="12" fillId="3" borderId="56" xfId="0" applyFont="1" applyFill="1" applyBorder="1" applyAlignment="1">
      <alignment vertical="center"/>
    </xf>
    <xf numFmtId="0" fontId="4" fillId="0" borderId="39" xfId="4" applyBorder="1" applyAlignment="1">
      <alignment horizontal="center" vertical="center" wrapText="1"/>
    </xf>
    <xf numFmtId="164" fontId="5" fillId="3" borderId="2" xfId="3" applyNumberFormat="1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4" borderId="57" xfId="4" applyFont="1" applyFill="1" applyBorder="1" applyAlignment="1">
      <alignment horizontal="center" vertical="center" wrapText="1"/>
    </xf>
    <xf numFmtId="164" fontId="4" fillId="3" borderId="10" xfId="3" applyNumberFormat="1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center" vertical="center" wrapText="1"/>
    </xf>
    <xf numFmtId="9" fontId="4" fillId="0" borderId="58" xfId="3" applyFont="1" applyFill="1" applyBorder="1" applyAlignment="1">
      <alignment horizontal="center" vertical="center"/>
    </xf>
    <xf numFmtId="9" fontId="4" fillId="0" borderId="15" xfId="3" applyFont="1" applyFill="1" applyBorder="1" applyAlignment="1">
      <alignment horizontal="center" vertical="center"/>
    </xf>
    <xf numFmtId="164" fontId="4" fillId="3" borderId="23" xfId="3" applyNumberFormat="1" applyFont="1" applyFill="1" applyBorder="1" applyAlignment="1">
      <alignment horizontal="center" vertical="center" wrapText="1"/>
    </xf>
    <xf numFmtId="166" fontId="4" fillId="0" borderId="26" xfId="2" applyNumberFormat="1" applyFont="1" applyFill="1" applyBorder="1" applyAlignment="1">
      <alignment horizontal="center" vertical="center" wrapText="1"/>
    </xf>
    <xf numFmtId="9" fontId="4" fillId="0" borderId="53" xfId="3" applyFont="1" applyFill="1" applyBorder="1" applyAlignment="1">
      <alignment horizontal="center" vertical="center"/>
    </xf>
    <xf numFmtId="9" fontId="4" fillId="0" borderId="21" xfId="3" applyFont="1" applyFill="1" applyBorder="1" applyAlignment="1">
      <alignment horizontal="center" vertical="center"/>
    </xf>
    <xf numFmtId="9" fontId="4" fillId="0" borderId="59" xfId="3" applyFont="1" applyFill="1" applyBorder="1" applyAlignment="1">
      <alignment horizontal="center" vertical="center"/>
    </xf>
    <xf numFmtId="9" fontId="4" fillId="0" borderId="27" xfId="3" applyFont="1" applyFill="1" applyBorder="1" applyAlignment="1">
      <alignment horizontal="center" vertical="center"/>
    </xf>
    <xf numFmtId="164" fontId="4" fillId="3" borderId="29" xfId="3" applyNumberFormat="1" applyFont="1" applyFill="1" applyBorder="1" applyAlignment="1">
      <alignment horizontal="center" vertical="center" wrapText="1"/>
    </xf>
    <xf numFmtId="166" fontId="4" fillId="0" borderId="31" xfId="2" applyNumberFormat="1" applyFont="1" applyFill="1" applyBorder="1" applyAlignment="1">
      <alignment horizontal="center" vertical="center" wrapText="1"/>
    </xf>
    <xf numFmtId="9" fontId="4" fillId="0" borderId="60" xfId="3" applyFont="1" applyFill="1" applyBorder="1" applyAlignment="1">
      <alignment horizontal="center" vertical="center"/>
    </xf>
    <xf numFmtId="9" fontId="4" fillId="0" borderId="33" xfId="3" applyFont="1" applyFill="1" applyBorder="1" applyAlignment="1">
      <alignment horizontal="center" vertical="center"/>
    </xf>
    <xf numFmtId="9" fontId="9" fillId="0" borderId="57" xfId="3" applyFont="1" applyFill="1" applyBorder="1" applyAlignment="1">
      <alignment horizontal="center" vertical="center" wrapText="1"/>
    </xf>
    <xf numFmtId="44" fontId="4" fillId="0" borderId="26" xfId="2" applyFont="1" applyFill="1" applyBorder="1" applyAlignment="1">
      <alignment horizontal="center" vertical="center" wrapText="1"/>
    </xf>
    <xf numFmtId="0" fontId="5" fillId="2" borderId="42" xfId="4" applyFont="1" applyFill="1" applyBorder="1" applyAlignment="1">
      <alignment horizontal="center" vertical="center" wrapText="1"/>
    </xf>
    <xf numFmtId="9" fontId="4" fillId="0" borderId="9" xfId="3" applyFont="1" applyFill="1" applyBorder="1" applyAlignment="1">
      <alignment horizontal="center" vertical="center"/>
    </xf>
    <xf numFmtId="9" fontId="4" fillId="0" borderId="16" xfId="3" applyFont="1" applyFill="1" applyBorder="1" applyAlignment="1">
      <alignment horizontal="center" vertical="center"/>
    </xf>
    <xf numFmtId="9" fontId="4" fillId="0" borderId="22" xfId="3" applyFont="1" applyFill="1" applyBorder="1" applyAlignment="1">
      <alignment horizontal="center" vertical="center"/>
    </xf>
    <xf numFmtId="9" fontId="4" fillId="0" borderId="28" xfId="3" applyFont="1" applyFill="1" applyBorder="1" applyAlignment="1">
      <alignment horizontal="center" vertical="center"/>
    </xf>
    <xf numFmtId="9" fontId="9" fillId="0" borderId="0" xfId="3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9" fontId="9" fillId="0" borderId="0" xfId="3" applyFont="1" applyFill="1" applyAlignment="1">
      <alignment horizontal="center" vertical="center" wrapText="1"/>
    </xf>
    <xf numFmtId="9" fontId="4" fillId="0" borderId="7" xfId="3" applyFont="1" applyFill="1" applyBorder="1" applyAlignment="1">
      <alignment horizontal="center" vertical="center"/>
    </xf>
    <xf numFmtId="9" fontId="4" fillId="0" borderId="46" xfId="3" applyFont="1" applyFill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9" fontId="4" fillId="7" borderId="61" xfId="3" applyFont="1" applyFill="1" applyBorder="1" applyAlignment="1">
      <alignment horizontal="center" vertical="center"/>
    </xf>
    <xf numFmtId="9" fontId="4" fillId="7" borderId="46" xfId="3" applyFont="1" applyFill="1" applyBorder="1" applyAlignment="1">
      <alignment horizontal="center" vertical="center"/>
    </xf>
    <xf numFmtId="9" fontId="4" fillId="7" borderId="34" xfId="3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9" fontId="4" fillId="3" borderId="21" xfId="3" applyFont="1" applyFill="1" applyBorder="1" applyAlignment="1">
      <alignment horizontal="center" vertical="center"/>
    </xf>
    <xf numFmtId="9" fontId="4" fillId="3" borderId="27" xfId="3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168" fontId="4" fillId="9" borderId="0" xfId="1" applyNumberFormat="1" applyFont="1" applyFill="1" applyBorder="1" applyAlignment="1">
      <alignment horizontal="center" vertical="center"/>
    </xf>
    <xf numFmtId="0" fontId="6" fillId="0" borderId="24" xfId="4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64" fontId="5" fillId="9" borderId="24" xfId="3" applyNumberFormat="1" applyFont="1" applyFill="1" applyBorder="1" applyAlignment="1">
      <alignment horizontal="center" vertical="center" wrapText="1"/>
    </xf>
    <xf numFmtId="164" fontId="5" fillId="0" borderId="24" xfId="3" applyNumberFormat="1" applyFont="1" applyFill="1" applyBorder="1" applyAlignment="1">
      <alignment horizontal="center" vertical="center" wrapText="1"/>
    </xf>
    <xf numFmtId="0" fontId="6" fillId="10" borderId="24" xfId="4" applyFont="1" applyFill="1" applyBorder="1" applyAlignment="1">
      <alignment horizontal="center" vertical="center" wrapText="1"/>
    </xf>
    <xf numFmtId="0" fontId="6" fillId="9" borderId="24" xfId="4" applyFont="1" applyFill="1" applyBorder="1" applyAlignment="1">
      <alignment horizontal="center" vertical="center" wrapText="1"/>
    </xf>
    <xf numFmtId="168" fontId="5" fillId="9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5" fillId="9" borderId="0" xfId="3" applyNumberFormat="1" applyFont="1" applyFill="1" applyBorder="1" applyAlignment="1">
      <alignment horizontal="center" vertical="center" wrapText="1"/>
    </xf>
    <xf numFmtId="164" fontId="5" fillId="0" borderId="0" xfId="3" applyNumberFormat="1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9" borderId="0" xfId="4" applyFont="1" applyFill="1" applyAlignment="1">
      <alignment horizontal="center" vertical="center" wrapText="1"/>
    </xf>
    <xf numFmtId="9" fontId="5" fillId="9" borderId="0" xfId="3" applyFont="1" applyFill="1" applyBorder="1" applyAlignment="1">
      <alignment horizontal="center" vertical="center" wrapText="1"/>
    </xf>
    <xf numFmtId="0" fontId="6" fillId="11" borderId="24" xfId="4" applyFont="1" applyFill="1" applyBorder="1" applyAlignment="1">
      <alignment horizontal="left" vertical="center" wrapText="1"/>
    </xf>
    <xf numFmtId="0" fontId="5" fillId="11" borderId="24" xfId="4" applyFont="1" applyFill="1" applyBorder="1" applyAlignment="1">
      <alignment horizontal="center" vertical="center"/>
    </xf>
    <xf numFmtId="0" fontId="5" fillId="9" borderId="24" xfId="4" applyFont="1" applyFill="1" applyBorder="1" applyAlignment="1">
      <alignment horizontal="center" vertical="center"/>
    </xf>
    <xf numFmtId="9" fontId="5" fillId="9" borderId="24" xfId="3" applyFont="1" applyFill="1" applyBorder="1" applyAlignment="1">
      <alignment horizontal="center" vertical="center"/>
    </xf>
    <xf numFmtId="165" fontId="6" fillId="10" borderId="24" xfId="2" applyNumberFormat="1" applyFont="1" applyFill="1" applyBorder="1" applyAlignment="1">
      <alignment horizontal="center" vertical="center"/>
    </xf>
    <xf numFmtId="9" fontId="5" fillId="12" borderId="24" xfId="3" applyFont="1" applyFill="1" applyBorder="1" applyAlignment="1">
      <alignment horizontal="center" vertical="center"/>
    </xf>
    <xf numFmtId="3" fontId="5" fillId="9" borderId="24" xfId="3" applyNumberFormat="1" applyFont="1" applyFill="1" applyBorder="1" applyAlignment="1">
      <alignment horizontal="center" vertical="center"/>
    </xf>
    <xf numFmtId="166" fontId="6" fillId="12" borderId="24" xfId="5" applyFont="1" applyFill="1" applyBorder="1" applyAlignment="1">
      <alignment horizontal="center" vertical="center"/>
    </xf>
    <xf numFmtId="166" fontId="6" fillId="9" borderId="24" xfId="5" applyFont="1" applyFill="1" applyBorder="1" applyAlignment="1">
      <alignment horizontal="center" vertical="center"/>
    </xf>
    <xf numFmtId="44" fontId="6" fillId="12" borderId="24" xfId="2" applyFont="1" applyFill="1" applyBorder="1" applyAlignment="1">
      <alignment horizontal="center" vertical="center"/>
    </xf>
    <xf numFmtId="9" fontId="5" fillId="9" borderId="24" xfId="3" applyFont="1" applyFill="1" applyBorder="1" applyAlignment="1">
      <alignment horizontal="center" vertical="center" wrapText="1"/>
    </xf>
    <xf numFmtId="9" fontId="7" fillId="12" borderId="24" xfId="3" applyFont="1" applyFill="1" applyBorder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9" fontId="5" fillId="0" borderId="0" xfId="3" applyFont="1" applyFill="1" applyBorder="1" applyAlignment="1">
      <alignment horizontal="center" vertical="center" wrapText="1"/>
    </xf>
    <xf numFmtId="9" fontId="4" fillId="9" borderId="0" xfId="3" applyFont="1" applyFill="1" applyBorder="1" applyAlignment="1">
      <alignment horizontal="center" vertical="center"/>
    </xf>
    <xf numFmtId="9" fontId="5" fillId="0" borderId="49" xfId="3" applyFont="1" applyFill="1" applyBorder="1" applyAlignment="1">
      <alignment horizontal="center" vertical="center"/>
    </xf>
    <xf numFmtId="3" fontId="5" fillId="9" borderId="49" xfId="3" applyNumberFormat="1" applyFont="1" applyFill="1" applyBorder="1" applyAlignment="1">
      <alignment horizontal="center" vertical="center"/>
    </xf>
    <xf numFmtId="166" fontId="6" fillId="10" borderId="49" xfId="5" applyFont="1" applyFill="1" applyBorder="1" applyAlignment="1">
      <alignment horizontal="center" vertical="center"/>
    </xf>
    <xf numFmtId="166" fontId="6" fillId="9" borderId="49" xfId="5" applyFont="1" applyFill="1" applyBorder="1" applyAlignment="1">
      <alignment horizontal="center" vertical="center"/>
    </xf>
    <xf numFmtId="44" fontId="6" fillId="9" borderId="49" xfId="2" applyFont="1" applyFill="1" applyBorder="1" applyAlignment="1">
      <alignment horizontal="center" vertical="center"/>
    </xf>
    <xf numFmtId="9" fontId="5" fillId="9" borderId="49" xfId="3" applyFont="1" applyFill="1" applyBorder="1" applyAlignment="1">
      <alignment horizontal="center" vertical="center" wrapText="1"/>
    </xf>
    <xf numFmtId="9" fontId="5" fillId="0" borderId="20" xfId="3" applyFont="1" applyFill="1" applyBorder="1" applyAlignment="1">
      <alignment horizontal="center" vertical="center"/>
    </xf>
    <xf numFmtId="3" fontId="5" fillId="9" borderId="20" xfId="3" applyNumberFormat="1" applyFont="1" applyFill="1" applyBorder="1" applyAlignment="1">
      <alignment horizontal="center" vertical="center"/>
    </xf>
    <xf numFmtId="166" fontId="6" fillId="10" borderId="20" xfId="5" applyFont="1" applyFill="1" applyBorder="1" applyAlignment="1">
      <alignment horizontal="center" vertical="center"/>
    </xf>
    <xf numFmtId="166" fontId="6" fillId="9" borderId="20" xfId="5" applyFont="1" applyFill="1" applyBorder="1" applyAlignment="1">
      <alignment horizontal="center" vertical="center"/>
    </xf>
    <xf numFmtId="44" fontId="6" fillId="9" borderId="20" xfId="2" applyFont="1" applyFill="1" applyBorder="1" applyAlignment="1">
      <alignment horizontal="center" vertical="center"/>
    </xf>
    <xf numFmtId="9" fontId="5" fillId="9" borderId="20" xfId="3" applyFont="1" applyFill="1" applyBorder="1" applyAlignment="1">
      <alignment horizontal="center" vertical="center" wrapText="1"/>
    </xf>
    <xf numFmtId="9" fontId="5" fillId="0" borderId="18" xfId="3" applyFont="1" applyFill="1" applyBorder="1" applyAlignment="1">
      <alignment horizontal="center" vertical="center"/>
    </xf>
    <xf numFmtId="3" fontId="5" fillId="9" borderId="18" xfId="3" applyNumberFormat="1" applyFont="1" applyFill="1" applyBorder="1" applyAlignment="1">
      <alignment horizontal="center" vertical="center"/>
    </xf>
    <xf numFmtId="166" fontId="6" fillId="10" borderId="18" xfId="5" applyFont="1" applyFill="1" applyBorder="1" applyAlignment="1">
      <alignment horizontal="center" vertical="center"/>
    </xf>
    <xf numFmtId="166" fontId="6" fillId="9" borderId="18" xfId="5" applyFont="1" applyFill="1" applyBorder="1" applyAlignment="1">
      <alignment horizontal="center" vertical="center"/>
    </xf>
    <xf numFmtId="44" fontId="6" fillId="9" borderId="18" xfId="2" applyFont="1" applyFill="1" applyBorder="1" applyAlignment="1">
      <alignment horizontal="center" vertical="center"/>
    </xf>
    <xf numFmtId="9" fontId="5" fillId="9" borderId="18" xfId="3" applyFont="1" applyFill="1" applyBorder="1" applyAlignment="1">
      <alignment horizontal="center" vertical="center" wrapText="1"/>
    </xf>
    <xf numFmtId="0" fontId="6" fillId="13" borderId="24" xfId="4" applyFont="1" applyFill="1" applyBorder="1" applyAlignment="1">
      <alignment horizontal="left" vertical="center" wrapText="1"/>
    </xf>
    <xf numFmtId="0" fontId="5" fillId="13" borderId="24" xfId="4" applyFont="1" applyFill="1" applyBorder="1" applyAlignment="1">
      <alignment horizontal="center" vertical="center"/>
    </xf>
    <xf numFmtId="9" fontId="5" fillId="9" borderId="35" xfId="3" applyFont="1" applyFill="1" applyBorder="1" applyAlignment="1">
      <alignment horizontal="center" vertical="center"/>
    </xf>
    <xf numFmtId="166" fontId="6" fillId="9" borderId="65" xfId="5" applyFont="1" applyFill="1" applyBorder="1" applyAlignment="1">
      <alignment horizontal="center" vertical="center"/>
    </xf>
    <xf numFmtId="166" fontId="6" fillId="9" borderId="66" xfId="5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 vertical="center"/>
    </xf>
    <xf numFmtId="9" fontId="5" fillId="9" borderId="0" xfId="3" applyFont="1" applyFill="1" applyBorder="1" applyAlignment="1">
      <alignment horizontal="center" vertical="center"/>
    </xf>
    <xf numFmtId="9" fontId="5" fillId="0" borderId="0" xfId="3" applyFont="1" applyFill="1" applyBorder="1" applyAlignment="1">
      <alignment horizontal="center" vertical="center"/>
    </xf>
    <xf numFmtId="3" fontId="5" fillId="9" borderId="0" xfId="3" applyNumberFormat="1" applyFont="1" applyFill="1" applyBorder="1" applyAlignment="1">
      <alignment horizontal="center" vertical="center"/>
    </xf>
    <xf numFmtId="166" fontId="6" fillId="0" borderId="0" xfId="5" applyFont="1" applyFill="1" applyBorder="1" applyAlignment="1">
      <alignment horizontal="center" vertical="center"/>
    </xf>
    <xf numFmtId="166" fontId="6" fillId="9" borderId="0" xfId="5" applyFont="1" applyFill="1" applyBorder="1" applyAlignment="1">
      <alignment horizontal="center" vertical="center"/>
    </xf>
    <xf numFmtId="44" fontId="6" fillId="9" borderId="0" xfId="2" applyFont="1" applyFill="1" applyBorder="1" applyAlignment="1">
      <alignment horizontal="center" vertical="center"/>
    </xf>
    <xf numFmtId="0" fontId="6" fillId="9" borderId="24" xfId="0" applyFont="1" applyFill="1" applyBorder="1" applyAlignment="1">
      <alignment horizontal="center" vertical="center" wrapText="1"/>
    </xf>
    <xf numFmtId="164" fontId="6" fillId="9" borderId="24" xfId="3" applyNumberFormat="1" applyFont="1" applyFill="1" applyBorder="1" applyAlignment="1">
      <alignment horizontal="center" vertical="center" wrapText="1"/>
    </xf>
    <xf numFmtId="9" fontId="5" fillId="0" borderId="24" xfId="3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5" fillId="11" borderId="17" xfId="4" applyFont="1" applyFill="1" applyBorder="1" applyAlignment="1">
      <alignment horizontal="left" vertical="center" wrapText="1"/>
    </xf>
    <xf numFmtId="0" fontId="5" fillId="9" borderId="18" xfId="4" applyFont="1" applyFill="1" applyBorder="1" applyAlignment="1">
      <alignment horizontal="center" vertical="center"/>
    </xf>
    <xf numFmtId="9" fontId="5" fillId="9" borderId="18" xfId="3" applyFont="1" applyFill="1" applyBorder="1" applyAlignment="1">
      <alignment horizontal="center" vertical="center"/>
    </xf>
    <xf numFmtId="165" fontId="6" fillId="10" borderId="18" xfId="2" applyNumberFormat="1" applyFont="1" applyFill="1" applyBorder="1" applyAlignment="1">
      <alignment horizontal="center" vertical="center"/>
    </xf>
    <xf numFmtId="9" fontId="5" fillId="9" borderId="64" xfId="3" applyFont="1" applyFill="1" applyBorder="1" applyAlignment="1">
      <alignment horizontal="center" vertical="center"/>
    </xf>
    <xf numFmtId="164" fontId="5" fillId="12" borderId="18" xfId="3" applyNumberFormat="1" applyFont="1" applyFill="1" applyBorder="1" applyAlignment="1">
      <alignment horizontal="center" vertical="center"/>
    </xf>
    <xf numFmtId="166" fontId="6" fillId="12" borderId="18" xfId="5" applyFont="1" applyFill="1" applyBorder="1" applyAlignment="1">
      <alignment horizontal="center" vertical="center"/>
    </xf>
    <xf numFmtId="43" fontId="5" fillId="9" borderId="0" xfId="1" applyFont="1" applyFill="1" applyBorder="1" applyAlignment="1">
      <alignment horizontal="center" vertical="center"/>
    </xf>
    <xf numFmtId="0" fontId="5" fillId="6" borderId="23" xfId="4" applyFont="1" applyFill="1" applyBorder="1" applyAlignment="1">
      <alignment horizontal="left" vertical="center" wrapText="1"/>
    </xf>
    <xf numFmtId="164" fontId="5" fillId="0" borderId="24" xfId="3" applyNumberFormat="1" applyFont="1" applyFill="1" applyBorder="1" applyAlignment="1">
      <alignment horizontal="center" vertical="center"/>
    </xf>
    <xf numFmtId="166" fontId="6" fillId="10" borderId="24" xfId="5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horizontal="left" vertical="center"/>
    </xf>
    <xf numFmtId="0" fontId="5" fillId="13" borderId="23" xfId="4" applyFont="1" applyFill="1" applyBorder="1" applyAlignment="1">
      <alignment horizontal="left" vertical="center" wrapText="1"/>
    </xf>
    <xf numFmtId="164" fontId="5" fillId="12" borderId="24" xfId="3" applyNumberFormat="1" applyFont="1" applyFill="1" applyBorder="1" applyAlignment="1">
      <alignment horizontal="center" vertical="center"/>
    </xf>
    <xf numFmtId="0" fontId="5" fillId="14" borderId="24" xfId="4" applyFont="1" applyFill="1" applyBorder="1" applyAlignment="1">
      <alignment horizontal="left" vertical="center" wrapText="1"/>
    </xf>
    <xf numFmtId="0" fontId="5" fillId="0" borderId="24" xfId="4" applyFont="1" applyBorder="1" applyAlignment="1">
      <alignment horizontal="center" vertical="center"/>
    </xf>
    <xf numFmtId="0" fontId="5" fillId="16" borderId="24" xfId="4" applyFont="1" applyFill="1" applyBorder="1" applyAlignment="1">
      <alignment horizontal="left" vertical="center" wrapText="1"/>
    </xf>
    <xf numFmtId="0" fontId="5" fillId="6" borderId="24" xfId="4" applyFont="1" applyFill="1" applyBorder="1" applyAlignment="1">
      <alignment horizontal="center" vertical="center"/>
    </xf>
    <xf numFmtId="0" fontId="5" fillId="14" borderId="24" xfId="4" applyFont="1" applyFill="1" applyBorder="1" applyAlignment="1">
      <alignment horizontal="center" vertical="center"/>
    </xf>
    <xf numFmtId="0" fontId="19" fillId="8" borderId="24" xfId="4" applyFont="1" applyFill="1" applyBorder="1" applyAlignment="1">
      <alignment vertical="center"/>
    </xf>
    <xf numFmtId="0" fontId="20" fillId="0" borderId="0" xfId="0" applyFont="1"/>
    <xf numFmtId="0" fontId="4" fillId="0" borderId="19" xfId="0" applyFont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164" fontId="4" fillId="0" borderId="59" xfId="3" applyNumberFormat="1" applyFont="1" applyFill="1" applyBorder="1" applyAlignment="1">
      <alignment horizontal="center" vertical="center" wrapText="1"/>
    </xf>
    <xf numFmtId="164" fontId="4" fillId="0" borderId="24" xfId="3" applyNumberFormat="1" applyFont="1" applyFill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17" borderId="49" xfId="0" applyFont="1" applyFill="1" applyBorder="1" applyAlignment="1">
      <alignment horizontal="left" vertical="center"/>
    </xf>
    <xf numFmtId="0" fontId="4" fillId="0" borderId="0" xfId="4" applyAlignment="1">
      <alignment horizontal="center" vertical="center"/>
    </xf>
    <xf numFmtId="0" fontId="4" fillId="0" borderId="49" xfId="6" applyBorder="1" applyAlignment="1">
      <alignment horizontal="left" vertical="center"/>
    </xf>
    <xf numFmtId="0" fontId="4" fillId="0" borderId="24" xfId="6" applyBorder="1" applyAlignment="1">
      <alignment horizontal="center" vertical="center"/>
    </xf>
    <xf numFmtId="9" fontId="4" fillId="0" borderId="24" xfId="3" applyFont="1" applyFill="1" applyBorder="1" applyAlignment="1">
      <alignment horizontal="center" vertical="center"/>
    </xf>
    <xf numFmtId="165" fontId="7" fillId="2" borderId="24" xfId="4" applyNumberFormat="1" applyFont="1" applyFill="1" applyBorder="1" applyAlignment="1">
      <alignment horizontal="center" vertical="center"/>
    </xf>
    <xf numFmtId="164" fontId="4" fillId="0" borderId="24" xfId="3" applyNumberFormat="1" applyFont="1" applyFill="1" applyBorder="1" applyAlignment="1">
      <alignment horizontal="center" vertical="center"/>
    </xf>
    <xf numFmtId="165" fontId="7" fillId="0" borderId="24" xfId="4" applyNumberFormat="1" applyFont="1" applyBorder="1" applyAlignment="1">
      <alignment horizontal="center" vertical="center"/>
    </xf>
    <xf numFmtId="165" fontId="7" fillId="0" borderId="35" xfId="4" applyNumberFormat="1" applyFont="1" applyBorder="1" applyAlignment="1">
      <alignment horizontal="center" vertical="center"/>
    </xf>
    <xf numFmtId="167" fontId="18" fillId="0" borderId="0" xfId="3" applyNumberFormat="1" applyFont="1" applyFill="1" applyBorder="1" applyAlignment="1">
      <alignment horizontal="center" vertical="center"/>
    </xf>
    <xf numFmtId="0" fontId="4" fillId="0" borderId="24" xfId="6" applyBorder="1" applyAlignment="1">
      <alignment horizontal="left" vertical="center"/>
    </xf>
    <xf numFmtId="166" fontId="7" fillId="2" borderId="24" xfId="5" applyFont="1" applyFill="1" applyBorder="1" applyAlignment="1">
      <alignment horizontal="center" vertical="center"/>
    </xf>
    <xf numFmtId="0" fontId="4" fillId="0" borderId="0" xfId="6" applyAlignment="1">
      <alignment horizontal="center" vertical="center"/>
    </xf>
    <xf numFmtId="166" fontId="7" fillId="0" borderId="0" xfId="5" applyFont="1" applyFill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center" vertical="center"/>
    </xf>
    <xf numFmtId="165" fontId="7" fillId="0" borderId="0" xfId="4" applyNumberFormat="1" applyFont="1" applyAlignment="1">
      <alignment horizontal="center" vertical="center"/>
    </xf>
    <xf numFmtId="0" fontId="4" fillId="0" borderId="24" xfId="3" applyNumberFormat="1" applyFont="1" applyFill="1" applyBorder="1" applyAlignment="1">
      <alignment horizontal="center" vertical="center"/>
    </xf>
    <xf numFmtId="49" fontId="4" fillId="0" borderId="24" xfId="3" applyNumberFormat="1" applyFont="1" applyFill="1" applyBorder="1" applyAlignment="1">
      <alignment horizontal="center" vertical="center"/>
    </xf>
    <xf numFmtId="0" fontId="7" fillId="17" borderId="2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" fontId="4" fillId="0" borderId="24" xfId="6" applyNumberFormat="1" applyBorder="1" applyAlignment="1">
      <alignment horizontal="center" vertical="center"/>
    </xf>
    <xf numFmtId="165" fontId="4" fillId="0" borderId="0" xfId="3" applyNumberFormat="1" applyFont="1" applyFill="1" applyBorder="1" applyAlignment="1">
      <alignment horizontal="center" vertical="center"/>
    </xf>
    <xf numFmtId="164" fontId="4" fillId="13" borderId="24" xfId="3" applyNumberFormat="1" applyFont="1" applyFill="1" applyBorder="1" applyAlignment="1">
      <alignment horizontal="center" vertical="center"/>
    </xf>
    <xf numFmtId="166" fontId="7" fillId="13" borderId="24" xfId="5" applyFont="1" applyFill="1" applyBorder="1" applyAlignment="1">
      <alignment horizontal="center" vertical="center"/>
    </xf>
    <xf numFmtId="164" fontId="18" fillId="13" borderId="24" xfId="3" applyNumberFormat="1" applyFont="1" applyFill="1" applyBorder="1" applyAlignment="1">
      <alignment horizontal="center" vertical="center"/>
    </xf>
    <xf numFmtId="1" fontId="4" fillId="0" borderId="0" xfId="6" applyNumberFormat="1" applyAlignment="1">
      <alignment horizontal="center" vertical="center"/>
    </xf>
    <xf numFmtId="165" fontId="7" fillId="0" borderId="0" xfId="6" applyNumberFormat="1" applyFont="1" applyAlignment="1">
      <alignment horizontal="center" vertical="center"/>
    </xf>
    <xf numFmtId="164" fontId="7" fillId="0" borderId="0" xfId="3" applyNumberFormat="1" applyFont="1" applyFill="1" applyBorder="1" applyAlignment="1">
      <alignment horizontal="center" vertical="center"/>
    </xf>
    <xf numFmtId="165" fontId="4" fillId="0" borderId="0" xfId="5" applyNumberFormat="1" applyFont="1" applyFill="1" applyBorder="1" applyAlignment="1">
      <alignment horizontal="center" vertical="center"/>
    </xf>
    <xf numFmtId="165" fontId="4" fillId="0" borderId="0" xfId="4" applyNumberFormat="1" applyAlignment="1">
      <alignment horizontal="center" vertical="center"/>
    </xf>
    <xf numFmtId="0" fontId="4" fillId="18" borderId="24" xfId="6" applyFill="1" applyBorder="1" applyAlignment="1">
      <alignment horizontal="left" vertical="center"/>
    </xf>
    <xf numFmtId="0" fontId="7" fillId="17" borderId="24" xfId="0" applyFont="1" applyFill="1" applyBorder="1" applyAlignment="1">
      <alignment horizontal="left" vertical="center"/>
    </xf>
    <xf numFmtId="0" fontId="9" fillId="0" borderId="0" xfId="0" applyFont="1"/>
    <xf numFmtId="0" fontId="17" fillId="17" borderId="24" xfId="0" applyFont="1" applyFill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4" fillId="0" borderId="24" xfId="4" applyBorder="1" applyAlignment="1">
      <alignment horizontal="left" vertical="center"/>
    </xf>
    <xf numFmtId="0" fontId="4" fillId="0" borderId="24" xfId="4" applyBorder="1" applyAlignment="1">
      <alignment horizontal="center" vertical="center"/>
    </xf>
    <xf numFmtId="44" fontId="9" fillId="0" borderId="0" xfId="0" applyNumberFormat="1" applyFont="1"/>
    <xf numFmtId="44" fontId="7" fillId="0" borderId="0" xfId="4" applyNumberFormat="1" applyFont="1" applyAlignment="1">
      <alignment horizontal="center" vertical="center"/>
    </xf>
    <xf numFmtId="44" fontId="20" fillId="0" borderId="0" xfId="0" applyNumberFormat="1" applyFont="1"/>
    <xf numFmtId="0" fontId="7" fillId="2" borderId="24" xfId="0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164" fontId="4" fillId="19" borderId="24" xfId="3" applyNumberFormat="1" applyFont="1" applyFill="1" applyBorder="1" applyAlignment="1">
      <alignment horizontal="center" vertical="center"/>
    </xf>
    <xf numFmtId="165" fontId="7" fillId="19" borderId="24" xfId="4" applyNumberFormat="1" applyFont="1" applyFill="1" applyBorder="1" applyAlignment="1">
      <alignment horizontal="center" vertical="center"/>
    </xf>
    <xf numFmtId="0" fontId="4" fillId="0" borderId="24" xfId="6" applyBorder="1" applyAlignment="1">
      <alignment vertical="center"/>
    </xf>
    <xf numFmtId="166" fontId="7" fillId="2" borderId="24" xfId="5" applyFont="1" applyFill="1" applyBorder="1" applyAlignment="1">
      <alignment vertical="center"/>
    </xf>
    <xf numFmtId="166" fontId="7" fillId="19" borderId="24" xfId="5" applyFont="1" applyFill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32" xfId="0" applyNumberFormat="1" applyFont="1" applyBorder="1" applyAlignment="1">
      <alignment horizontal="center" vertical="center" wrapText="1"/>
    </xf>
    <xf numFmtId="165" fontId="7" fillId="2" borderId="17" xfId="2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9" fontId="4" fillId="0" borderId="18" xfId="3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45" xfId="0" applyNumberFormat="1" applyFont="1" applyBorder="1" applyAlignment="1">
      <alignment horizontal="center" vertical="center" wrapText="1"/>
    </xf>
    <xf numFmtId="1" fontId="4" fillId="0" borderId="38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65" fontId="7" fillId="2" borderId="10" xfId="2" applyNumberFormat="1" applyFont="1" applyFill="1" applyBorder="1" applyAlignment="1">
      <alignment horizontal="center" vertical="center" wrapText="1"/>
    </xf>
    <xf numFmtId="165" fontId="7" fillId="2" borderId="37" xfId="2" applyNumberFormat="1" applyFont="1" applyFill="1" applyBorder="1" applyAlignment="1">
      <alignment horizontal="center" vertical="center" wrapText="1"/>
    </xf>
    <xf numFmtId="9" fontId="4" fillId="0" borderId="11" xfId="3" applyFont="1" applyFill="1" applyBorder="1" applyAlignment="1">
      <alignment horizontal="center" vertical="center" wrapText="1"/>
    </xf>
    <xf numFmtId="9" fontId="4" fillId="0" borderId="20" xfId="3" applyFont="1" applyFill="1" applyBorder="1" applyAlignment="1">
      <alignment horizontal="center" vertical="center" wrapText="1"/>
    </xf>
    <xf numFmtId="1" fontId="4" fillId="0" borderId="14" xfId="3" applyNumberFormat="1" applyFont="1" applyFill="1" applyBorder="1" applyAlignment="1">
      <alignment horizontal="center" vertical="center" wrapText="1"/>
    </xf>
    <xf numFmtId="1" fontId="4" fillId="0" borderId="20" xfId="3" applyNumberFormat="1" applyFont="1" applyFill="1" applyBorder="1" applyAlignment="1">
      <alignment horizontal="center" vertical="center" wrapText="1"/>
    </xf>
    <xf numFmtId="1" fontId="4" fillId="0" borderId="32" xfId="3" applyNumberFormat="1" applyFont="1" applyFill="1" applyBorder="1" applyAlignment="1">
      <alignment horizontal="center" vertical="center" wrapText="1"/>
    </xf>
    <xf numFmtId="1" fontId="4" fillId="0" borderId="11" xfId="3" applyNumberFormat="1" applyFont="1" applyFill="1" applyBorder="1" applyAlignment="1">
      <alignment horizontal="center" vertical="center" wrapText="1"/>
    </xf>
    <xf numFmtId="1" fontId="4" fillId="0" borderId="24" xfId="3" applyNumberFormat="1" applyFont="1" applyFill="1" applyBorder="1" applyAlignment="1">
      <alignment horizontal="center" vertical="center" wrapText="1"/>
    </xf>
    <xf numFmtId="1" fontId="4" fillId="0" borderId="30" xfId="3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1" fontId="4" fillId="0" borderId="44" xfId="0" applyNumberFormat="1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wrapText="1"/>
    </xf>
    <xf numFmtId="0" fontId="4" fillId="6" borderId="8" xfId="4" applyFill="1" applyBorder="1" applyAlignment="1">
      <alignment horizontal="left" vertical="center"/>
    </xf>
    <xf numFmtId="0" fontId="4" fillId="6" borderId="36" xfId="4" applyFill="1" applyBorder="1" applyAlignment="1">
      <alignment horizontal="left" vertical="center"/>
    </xf>
    <xf numFmtId="0" fontId="4" fillId="6" borderId="39" xfId="4" applyFill="1" applyBorder="1" applyAlignment="1">
      <alignment horizontal="lef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13" borderId="24" xfId="4" applyFont="1" applyFill="1" applyBorder="1" applyAlignment="1">
      <alignment horizontal="center" vertical="center"/>
    </xf>
    <xf numFmtId="3" fontId="5" fillId="9" borderId="24" xfId="3" applyNumberFormat="1" applyFont="1" applyFill="1" applyBorder="1" applyAlignment="1">
      <alignment horizontal="center" vertical="center"/>
    </xf>
    <xf numFmtId="0" fontId="5" fillId="14" borderId="24" xfId="4" applyFont="1" applyFill="1" applyBorder="1" applyAlignment="1">
      <alignment horizontal="center" vertical="center"/>
    </xf>
    <xf numFmtId="0" fontId="5" fillId="16" borderId="24" xfId="4" applyFont="1" applyFill="1" applyBorder="1" applyAlignment="1">
      <alignment horizontal="center" vertical="center"/>
    </xf>
    <xf numFmtId="9" fontId="5" fillId="9" borderId="62" xfId="3" applyFont="1" applyFill="1" applyBorder="1" applyAlignment="1">
      <alignment horizontal="center" vertical="center"/>
    </xf>
    <xf numFmtId="9" fontId="5" fillId="9" borderId="64" xfId="3" applyFont="1" applyFill="1" applyBorder="1" applyAlignment="1">
      <alignment horizontal="center" vertical="center"/>
    </xf>
    <xf numFmtId="0" fontId="5" fillId="9" borderId="24" xfId="0" applyFont="1" applyFill="1" applyBorder="1" applyAlignment="1">
      <alignment horizontal="center" vertical="center" wrapText="1"/>
    </xf>
    <xf numFmtId="164" fontId="5" fillId="9" borderId="24" xfId="3" applyNumberFormat="1" applyFont="1" applyFill="1" applyBorder="1" applyAlignment="1">
      <alignment horizontal="center" vertical="center" wrapText="1"/>
    </xf>
    <xf numFmtId="0" fontId="5" fillId="11" borderId="18" xfId="4" applyFont="1" applyFill="1" applyBorder="1" applyAlignment="1">
      <alignment horizontal="center" vertical="center"/>
    </xf>
    <xf numFmtId="3" fontId="5" fillId="9" borderId="18" xfId="3" applyNumberFormat="1" applyFont="1" applyFill="1" applyBorder="1" applyAlignment="1">
      <alignment horizontal="center" vertical="center"/>
    </xf>
    <xf numFmtId="0" fontId="18" fillId="9" borderId="20" xfId="4" applyFont="1" applyFill="1" applyBorder="1" applyAlignment="1">
      <alignment horizontal="center" vertical="center"/>
    </xf>
    <xf numFmtId="0" fontId="18" fillId="9" borderId="18" xfId="4" applyFont="1" applyFill="1" applyBorder="1" applyAlignment="1">
      <alignment horizontal="center" vertical="center"/>
    </xf>
    <xf numFmtId="0" fontId="5" fillId="6" borderId="24" xfId="4" applyFont="1" applyFill="1" applyBorder="1" applyAlignment="1">
      <alignment horizontal="center" vertical="center"/>
    </xf>
    <xf numFmtId="0" fontId="5" fillId="9" borderId="49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9" fontId="5" fillId="9" borderId="24" xfId="3" applyFont="1" applyFill="1" applyBorder="1" applyAlignment="1">
      <alignment horizontal="center" vertical="center"/>
    </xf>
    <xf numFmtId="0" fontId="5" fillId="9" borderId="24" xfId="0" applyFont="1" applyFill="1" applyBorder="1" applyAlignment="1">
      <alignment horizontal="center" vertical="center"/>
    </xf>
    <xf numFmtId="165" fontId="6" fillId="10" borderId="49" xfId="2" applyNumberFormat="1" applyFont="1" applyFill="1" applyBorder="1" applyAlignment="1">
      <alignment horizontal="center" vertical="center"/>
    </xf>
    <xf numFmtId="165" fontId="6" fillId="10" borderId="18" xfId="2" applyNumberFormat="1" applyFont="1" applyFill="1" applyBorder="1" applyAlignment="1">
      <alignment horizontal="center" vertical="center"/>
    </xf>
    <xf numFmtId="0" fontId="5" fillId="9" borderId="24" xfId="4" applyFont="1" applyFill="1" applyBorder="1" applyAlignment="1">
      <alignment horizontal="center" vertical="center"/>
    </xf>
    <xf numFmtId="0" fontId="6" fillId="15" borderId="24" xfId="4" applyFont="1" applyFill="1" applyBorder="1" applyAlignment="1">
      <alignment horizontal="left" vertical="center" wrapText="1"/>
    </xf>
    <xf numFmtId="0" fontId="5" fillId="15" borderId="24" xfId="4" applyFont="1" applyFill="1" applyBorder="1" applyAlignment="1">
      <alignment horizontal="center" vertical="center"/>
    </xf>
    <xf numFmtId="0" fontId="5" fillId="15" borderId="49" xfId="4" applyFont="1" applyFill="1" applyBorder="1" applyAlignment="1">
      <alignment horizontal="center" vertical="center"/>
    </xf>
    <xf numFmtId="0" fontId="5" fillId="15" borderId="18" xfId="4" applyFont="1" applyFill="1" applyBorder="1" applyAlignment="1">
      <alignment horizontal="center" vertical="center"/>
    </xf>
    <xf numFmtId="165" fontId="6" fillId="10" borderId="20" xfId="2" applyNumberFormat="1" applyFont="1" applyFill="1" applyBorder="1" applyAlignment="1">
      <alignment horizontal="center" vertical="center"/>
    </xf>
    <xf numFmtId="9" fontId="5" fillId="9" borderId="63" xfId="3" applyFont="1" applyFill="1" applyBorder="1" applyAlignment="1">
      <alignment horizontal="center" vertical="center"/>
    </xf>
    <xf numFmtId="0" fontId="6" fillId="14" borderId="24" xfId="4" applyFont="1" applyFill="1" applyBorder="1" applyAlignment="1">
      <alignment horizontal="left" vertical="center" wrapText="1"/>
    </xf>
    <xf numFmtId="0" fontId="5" fillId="14" borderId="49" xfId="4" applyFont="1" applyFill="1" applyBorder="1" applyAlignment="1">
      <alignment horizontal="center" vertical="center"/>
    </xf>
    <xf numFmtId="0" fontId="5" fillId="14" borderId="18" xfId="4" applyFont="1" applyFill="1" applyBorder="1" applyAlignment="1">
      <alignment horizontal="center" vertical="center"/>
    </xf>
    <xf numFmtId="0" fontId="5" fillId="9" borderId="49" xfId="4" applyFont="1" applyFill="1" applyBorder="1" applyAlignment="1">
      <alignment horizontal="center" vertical="center"/>
    </xf>
    <xf numFmtId="0" fontId="5" fillId="9" borderId="18" xfId="4" applyFont="1" applyFill="1" applyBorder="1" applyAlignment="1">
      <alignment horizontal="center" vertical="center"/>
    </xf>
    <xf numFmtId="0" fontId="16" fillId="8" borderId="25" xfId="4" applyFont="1" applyFill="1" applyBorder="1" applyAlignment="1">
      <alignment horizontal="center" vertical="center"/>
    </xf>
    <xf numFmtId="0" fontId="16" fillId="8" borderId="59" xfId="4" applyFont="1" applyFill="1" applyBorder="1" applyAlignment="1">
      <alignment horizontal="center" vertical="center"/>
    </xf>
    <xf numFmtId="0" fontId="16" fillId="8" borderId="35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left" vertical="center" wrapText="1"/>
    </xf>
    <xf numFmtId="0" fontId="5" fillId="6" borderId="49" xfId="4" applyFont="1" applyFill="1" applyBorder="1" applyAlignment="1">
      <alignment horizontal="center" vertical="center"/>
    </xf>
    <xf numFmtId="0" fontId="5" fillId="6" borderId="20" xfId="4" applyFont="1" applyFill="1" applyBorder="1" applyAlignment="1">
      <alignment horizontal="center" vertical="center"/>
    </xf>
    <xf numFmtId="0" fontId="5" fillId="6" borderId="18" xfId="4" applyFont="1" applyFill="1" applyBorder="1" applyAlignment="1">
      <alignment horizontal="center" vertical="center"/>
    </xf>
    <xf numFmtId="0" fontId="5" fillId="9" borderId="20" xfId="4" applyFont="1" applyFill="1" applyBorder="1" applyAlignment="1">
      <alignment horizontal="center" vertical="center"/>
    </xf>
    <xf numFmtId="0" fontId="19" fillId="8" borderId="25" xfId="4" applyFont="1" applyFill="1" applyBorder="1" applyAlignment="1">
      <alignment horizontal="center" vertical="center"/>
    </xf>
    <xf numFmtId="0" fontId="19" fillId="8" borderId="59" xfId="4" applyFont="1" applyFill="1" applyBorder="1" applyAlignment="1">
      <alignment horizontal="center" vertical="center"/>
    </xf>
    <xf numFmtId="0" fontId="19" fillId="8" borderId="35" xfId="4" applyFont="1" applyFill="1" applyBorder="1" applyAlignment="1">
      <alignment horizontal="center" vertical="center"/>
    </xf>
    <xf numFmtId="49" fontId="4" fillId="0" borderId="49" xfId="3" applyNumberFormat="1" applyFont="1" applyFill="1" applyBorder="1" applyAlignment="1">
      <alignment horizontal="center" vertical="center"/>
    </xf>
    <xf numFmtId="49" fontId="4" fillId="0" borderId="20" xfId="3" applyNumberFormat="1" applyFont="1" applyFill="1" applyBorder="1" applyAlignment="1">
      <alignment horizontal="center" vertical="center"/>
    </xf>
    <xf numFmtId="49" fontId="4" fillId="0" borderId="18" xfId="3" applyNumberFormat="1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1" fontId="4" fillId="0" borderId="24" xfId="6" applyNumberFormat="1" applyBorder="1" applyAlignment="1">
      <alignment horizontal="center" vertical="center"/>
    </xf>
    <xf numFmtId="166" fontId="7" fillId="2" borderId="24" xfId="5" applyFont="1" applyFill="1" applyBorder="1" applyAlignment="1">
      <alignment horizontal="center" vertical="center"/>
    </xf>
    <xf numFmtId="0" fontId="17" fillId="19" borderId="24" xfId="6" applyFont="1" applyFill="1" applyBorder="1" applyAlignment="1">
      <alignment horizontal="center" vertical="center"/>
    </xf>
    <xf numFmtId="0" fontId="4" fillId="0" borderId="49" xfId="6" applyBorder="1" applyAlignment="1">
      <alignment horizontal="center" vertical="center"/>
    </xf>
    <xf numFmtId="0" fontId="4" fillId="0" borderId="18" xfId="6" applyBorder="1" applyAlignment="1">
      <alignment horizontal="center" vertical="center"/>
    </xf>
    <xf numFmtId="1" fontId="4" fillId="0" borderId="49" xfId="6" applyNumberFormat="1" applyBorder="1" applyAlignment="1">
      <alignment horizontal="center" vertical="center"/>
    </xf>
    <xf numFmtId="1" fontId="4" fillId="0" borderId="18" xfId="6" applyNumberFormat="1" applyBorder="1" applyAlignment="1">
      <alignment horizontal="center" vertical="center"/>
    </xf>
    <xf numFmtId="0" fontId="4" fillId="0" borderId="20" xfId="6" applyBorder="1" applyAlignment="1">
      <alignment horizontal="center" vertical="center"/>
    </xf>
    <xf numFmtId="0" fontId="4" fillId="0" borderId="24" xfId="6" applyBorder="1" applyAlignment="1">
      <alignment horizontal="center" vertical="center"/>
    </xf>
    <xf numFmtId="165" fontId="7" fillId="2" borderId="24" xfId="4" applyNumberFormat="1" applyFont="1" applyFill="1" applyBorder="1" applyAlignment="1">
      <alignment horizontal="center" vertical="center"/>
    </xf>
    <xf numFmtId="44" fontId="17" fillId="19" borderId="24" xfId="2" applyFont="1" applyFill="1" applyBorder="1" applyAlignment="1">
      <alignment horizontal="center" vertical="center" wrapText="1"/>
    </xf>
    <xf numFmtId="0" fontId="4" fillId="19" borderId="24" xfId="6" applyFill="1" applyBorder="1" applyAlignment="1">
      <alignment horizontal="left" vertical="center"/>
    </xf>
    <xf numFmtId="9" fontId="4" fillId="0" borderId="24" xfId="3" applyFont="1" applyFill="1" applyBorder="1" applyAlignment="1">
      <alignment horizontal="center" vertical="center"/>
    </xf>
    <xf numFmtId="0" fontId="6" fillId="8" borderId="24" xfId="4" applyFont="1" applyFill="1" applyBorder="1" applyAlignment="1">
      <alignment horizontal="center" vertical="center"/>
    </xf>
  </cellXfs>
  <cellStyles count="7">
    <cellStyle name="Migliaia" xfId="1" builtinId="3"/>
    <cellStyle name="Normale" xfId="0" builtinId="0"/>
    <cellStyle name="Normale 2 10" xfId="4" xr:uid="{946F6E0D-523E-4F14-A0DA-2F75E9FA2137}"/>
    <cellStyle name="Normale 4" xfId="6" xr:uid="{7EE19E7E-2CE7-4208-A632-59F6526030ED}"/>
    <cellStyle name="Percentuale" xfId="3" builtinId="5"/>
    <cellStyle name="Valuta" xfId="2" builtinId="4"/>
    <cellStyle name="Valuta 2" xfId="5" xr:uid="{04CFA391-FF29-4D46-8D71-53CCACE7D7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2"/>
  <sheetViews>
    <sheetView tabSelected="1" topLeftCell="A7" workbookViewId="0">
      <selection activeCell="K39" sqref="K39"/>
    </sheetView>
  </sheetViews>
  <sheetFormatPr defaultRowHeight="14.5" x14ac:dyDescent="0.35"/>
  <cols>
    <col min="3" max="3" width="8.7265625" customWidth="1"/>
    <col min="4" max="4" width="11.54296875" customWidth="1"/>
    <col min="5" max="5" width="16.1796875" customWidth="1"/>
    <col min="8" max="8" width="12.453125" customWidth="1"/>
    <col min="9" max="9" width="17.7265625" customWidth="1"/>
    <col min="10" max="10" width="12.90625" customWidth="1"/>
    <col min="11" max="11" width="7.90625" customWidth="1"/>
    <col min="14" max="14" width="10" customWidth="1"/>
  </cols>
  <sheetData>
    <row r="1" spans="1:22" ht="15" thickBot="1" x14ac:dyDescent="0.4"/>
    <row r="2" spans="1:22" ht="56.5" thickBot="1" x14ac:dyDescent="0.4">
      <c r="A2" s="1"/>
      <c r="B2" s="2" t="s">
        <v>0</v>
      </c>
      <c r="C2" s="3" t="s">
        <v>1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 t="s">
        <v>10</v>
      </c>
      <c r="J2" s="11" t="s">
        <v>11</v>
      </c>
      <c r="K2" s="11" t="s">
        <v>89</v>
      </c>
      <c r="L2" s="181" t="s">
        <v>90</v>
      </c>
      <c r="M2" s="162" t="s">
        <v>8</v>
      </c>
      <c r="N2" s="9" t="s">
        <v>9</v>
      </c>
      <c r="O2" s="10" t="s">
        <v>10</v>
      </c>
      <c r="P2" s="163" t="s">
        <v>11</v>
      </c>
      <c r="Q2" s="164" t="s">
        <v>89</v>
      </c>
      <c r="R2" s="162" t="s">
        <v>8</v>
      </c>
      <c r="S2" s="9" t="s">
        <v>9</v>
      </c>
      <c r="T2" s="10" t="s">
        <v>10</v>
      </c>
      <c r="U2" s="163" t="s">
        <v>11</v>
      </c>
      <c r="V2" s="11" t="s">
        <v>89</v>
      </c>
    </row>
    <row r="3" spans="1:22" ht="15" thickBot="1" x14ac:dyDescent="0.4">
      <c r="A3" s="12" t="s">
        <v>12</v>
      </c>
      <c r="B3" s="13"/>
      <c r="C3" s="13"/>
      <c r="D3" s="14"/>
      <c r="E3" s="14"/>
      <c r="F3" s="14"/>
      <c r="G3" s="14"/>
      <c r="H3" s="15"/>
      <c r="I3" s="14"/>
      <c r="J3" s="14"/>
      <c r="K3" s="14"/>
      <c r="L3" s="14"/>
      <c r="M3" s="14"/>
      <c r="N3" s="15"/>
      <c r="O3" s="14"/>
      <c r="P3" s="14"/>
      <c r="Q3" s="14"/>
      <c r="R3" s="14"/>
      <c r="S3" s="15"/>
      <c r="T3" s="14"/>
      <c r="U3" s="14"/>
      <c r="V3" s="14"/>
    </row>
    <row r="4" spans="1:22" x14ac:dyDescent="0.35">
      <c r="A4" s="16" t="s">
        <v>13</v>
      </c>
      <c r="B4" s="17" t="s">
        <v>14</v>
      </c>
      <c r="C4" s="18">
        <v>6</v>
      </c>
      <c r="D4" s="19">
        <v>984999262</v>
      </c>
      <c r="E4" s="20">
        <v>6.75</v>
      </c>
      <c r="F4" s="21">
        <v>0.5</v>
      </c>
      <c r="G4" s="22">
        <v>0.15</v>
      </c>
      <c r="H4" s="360">
        <v>1</v>
      </c>
      <c r="I4" s="23">
        <f>E4*(1-F4)*(1-G4)</f>
        <v>2.8687499999999999</v>
      </c>
      <c r="J4" s="24">
        <f>+I4*1.22*1.5</f>
        <v>5.2498125</v>
      </c>
      <c r="K4" s="168">
        <f t="shared" ref="K4:K13" si="0">(J4/1.22-I4)/I4</f>
        <v>0.49999999999999994</v>
      </c>
      <c r="L4" s="182">
        <f>+(E4/1.22-I4)/I4</f>
        <v>0.92864030858244961</v>
      </c>
      <c r="M4" s="165">
        <v>0.2</v>
      </c>
      <c r="N4" s="363">
        <v>8</v>
      </c>
      <c r="O4" s="23">
        <f>+E4*(1-F4)*(1-M4)</f>
        <v>2.7</v>
      </c>
      <c r="P4" s="166">
        <v>4.95</v>
      </c>
      <c r="Q4" s="167">
        <f>(P4/1.22-O4)/O4</f>
        <v>0.50273224043715847</v>
      </c>
      <c r="R4" s="165">
        <v>0.25</v>
      </c>
      <c r="S4" s="363">
        <v>12</v>
      </c>
      <c r="T4" s="23">
        <f>+E4*(1-F4)*(1-R4)</f>
        <v>2.53125</v>
      </c>
      <c r="U4" s="166">
        <v>4.5999999999999996</v>
      </c>
      <c r="V4" s="168">
        <f>(U4/1.22-T4)/T4</f>
        <v>0.48957700870269166</v>
      </c>
    </row>
    <row r="5" spans="1:22" x14ac:dyDescent="0.35">
      <c r="A5" s="25" t="s">
        <v>15</v>
      </c>
      <c r="B5" s="26" t="s">
        <v>14</v>
      </c>
      <c r="C5" s="27">
        <v>6</v>
      </c>
      <c r="D5" s="27">
        <v>984999274</v>
      </c>
      <c r="E5" s="28">
        <v>6.75</v>
      </c>
      <c r="F5" s="29">
        <v>0.5</v>
      </c>
      <c r="G5" s="30">
        <v>0.15</v>
      </c>
      <c r="H5" s="361"/>
      <c r="I5" s="31">
        <f>E5*(1-F5)*(1-G5)</f>
        <v>2.8687499999999999</v>
      </c>
      <c r="J5" s="32">
        <f t="shared" ref="J5" si="1">+I5*1.22*1.5</f>
        <v>5.2498125</v>
      </c>
      <c r="K5" s="172">
        <f t="shared" si="0"/>
        <v>0.49999999999999994</v>
      </c>
      <c r="L5" s="183">
        <f t="shared" ref="L5:L13" si="2">+(E5/1.22-I5)/I5</f>
        <v>0.92864030858244961</v>
      </c>
      <c r="M5" s="169">
        <v>0.2</v>
      </c>
      <c r="N5" s="364"/>
      <c r="O5" s="42">
        <f t="shared" ref="O5:O19" si="3">+E5*(1-F5)*(1-M5)</f>
        <v>2.7</v>
      </c>
      <c r="P5" s="170">
        <v>4.95</v>
      </c>
      <c r="Q5" s="171">
        <f t="shared" ref="Q5:Q13" si="4">(P5/1.22-O5)/O5</f>
        <v>0.50273224043715847</v>
      </c>
      <c r="R5" s="169">
        <v>0.25</v>
      </c>
      <c r="S5" s="364"/>
      <c r="T5" s="42">
        <f>+E5*(1-F5)*(1-R5)</f>
        <v>2.53125</v>
      </c>
      <c r="U5" s="170">
        <v>4.5999999999999996</v>
      </c>
      <c r="V5" s="172">
        <f t="shared" ref="V5:V13" si="5">(U5/1.22-T5)/T5</f>
        <v>0.48957700870269166</v>
      </c>
    </row>
    <row r="6" spans="1:22" x14ac:dyDescent="0.35">
      <c r="A6" s="33" t="s">
        <v>16</v>
      </c>
      <c r="B6" s="34" t="s">
        <v>17</v>
      </c>
      <c r="C6" s="35">
        <v>6</v>
      </c>
      <c r="D6" s="37">
        <v>984999286</v>
      </c>
      <c r="E6" s="38">
        <v>10.25</v>
      </c>
      <c r="F6" s="39">
        <v>0.5</v>
      </c>
      <c r="G6" s="30">
        <v>0.15</v>
      </c>
      <c r="H6" s="361"/>
      <c r="I6" s="31">
        <f>E6*(1-F6)*(1-G6)</f>
        <v>4.3562500000000002</v>
      </c>
      <c r="J6" s="40">
        <v>7.98</v>
      </c>
      <c r="K6" s="174">
        <f t="shared" si="0"/>
        <v>0.50151704024272648</v>
      </c>
      <c r="L6" s="184">
        <f t="shared" si="2"/>
        <v>0.92864030858244917</v>
      </c>
      <c r="M6" s="169">
        <v>0.2</v>
      </c>
      <c r="N6" s="364"/>
      <c r="O6" s="42">
        <f t="shared" si="3"/>
        <v>4.1000000000000005</v>
      </c>
      <c r="P6" s="170">
        <f>+O6*1.22*1.5</f>
        <v>7.503000000000001</v>
      </c>
      <c r="Q6" s="173">
        <f t="shared" si="4"/>
        <v>0.50000000000000011</v>
      </c>
      <c r="R6" s="169">
        <v>0.25</v>
      </c>
      <c r="S6" s="364"/>
      <c r="T6" s="42">
        <f>+E6*(1-F6)*(1-R6)</f>
        <v>3.84375</v>
      </c>
      <c r="U6" s="170">
        <v>7</v>
      </c>
      <c r="V6" s="174">
        <f t="shared" si="5"/>
        <v>0.49273623883779816</v>
      </c>
    </row>
    <row r="7" spans="1:22" x14ac:dyDescent="0.35">
      <c r="A7" s="33" t="s">
        <v>18</v>
      </c>
      <c r="B7" s="34" t="s">
        <v>17</v>
      </c>
      <c r="C7" s="35">
        <v>6</v>
      </c>
      <c r="D7" s="37">
        <v>984999298</v>
      </c>
      <c r="E7" s="38">
        <v>9.6999999999999993</v>
      </c>
      <c r="F7" s="39">
        <v>0.5</v>
      </c>
      <c r="G7" s="41">
        <v>0.15</v>
      </c>
      <c r="H7" s="361"/>
      <c r="I7" s="42">
        <f>E7*(1-F7)*(1-G7)</f>
        <v>4.1224999999999996</v>
      </c>
      <c r="J7" s="40">
        <v>7.55</v>
      </c>
      <c r="K7" s="174">
        <f t="shared" si="0"/>
        <v>0.5011581783296386</v>
      </c>
      <c r="L7" s="184">
        <f t="shared" si="2"/>
        <v>0.9286403085824495</v>
      </c>
      <c r="M7" s="169">
        <v>0.2</v>
      </c>
      <c r="N7" s="364"/>
      <c r="O7" s="42">
        <f t="shared" si="3"/>
        <v>3.88</v>
      </c>
      <c r="P7" s="170">
        <f t="shared" ref="P7:P13" si="6">+O7*1.22*1.5</f>
        <v>7.1004000000000005</v>
      </c>
      <c r="Q7" s="173">
        <f t="shared" si="4"/>
        <v>0.50000000000000011</v>
      </c>
      <c r="R7" s="169">
        <v>0.25</v>
      </c>
      <c r="S7" s="364"/>
      <c r="T7" s="42">
        <f>+E7*(1-F7)*(1-R7)</f>
        <v>3.6374999999999997</v>
      </c>
      <c r="U7" s="170">
        <v>6.65</v>
      </c>
      <c r="V7" s="174">
        <f t="shared" si="5"/>
        <v>0.49850712635907862</v>
      </c>
    </row>
    <row r="8" spans="1:22" x14ac:dyDescent="0.35">
      <c r="A8" s="33" t="s">
        <v>19</v>
      </c>
      <c r="B8" s="34" t="s">
        <v>20</v>
      </c>
      <c r="C8" s="35">
        <v>6</v>
      </c>
      <c r="D8" s="35">
        <v>984999300</v>
      </c>
      <c r="E8" s="38">
        <v>9.7799999999999994</v>
      </c>
      <c r="F8" s="39">
        <v>0.5</v>
      </c>
      <c r="G8" s="41">
        <v>0.15</v>
      </c>
      <c r="H8" s="361"/>
      <c r="I8" s="42">
        <f>E8*(1-F8)*(1-G8)</f>
        <v>4.1564999999999994</v>
      </c>
      <c r="J8" s="40">
        <v>7.6</v>
      </c>
      <c r="K8" s="174">
        <f t="shared" si="0"/>
        <v>0.49873889010497102</v>
      </c>
      <c r="L8" s="184">
        <f t="shared" si="2"/>
        <v>0.92864030858244961</v>
      </c>
      <c r="M8" s="169">
        <v>0.2</v>
      </c>
      <c r="N8" s="364"/>
      <c r="O8" s="42">
        <f t="shared" si="3"/>
        <v>3.9119999999999999</v>
      </c>
      <c r="P8" s="170">
        <v>7.15</v>
      </c>
      <c r="Q8" s="173">
        <f t="shared" si="4"/>
        <v>0.49812263233765824</v>
      </c>
      <c r="R8" s="169">
        <v>0.25</v>
      </c>
      <c r="S8" s="364"/>
      <c r="T8" s="42">
        <f t="shared" ref="T8:T17" si="7">+E8*(1-F8)*(1-R8)</f>
        <v>3.6674999999999995</v>
      </c>
      <c r="U8" s="170">
        <v>6.7</v>
      </c>
      <c r="V8" s="174">
        <f t="shared" si="5"/>
        <v>0.4974242068680369</v>
      </c>
    </row>
    <row r="9" spans="1:22" x14ac:dyDescent="0.35">
      <c r="A9" s="33" t="s">
        <v>21</v>
      </c>
      <c r="B9" s="34" t="s">
        <v>20</v>
      </c>
      <c r="C9" s="35">
        <v>6</v>
      </c>
      <c r="D9" s="37">
        <v>984999312</v>
      </c>
      <c r="E9" s="38">
        <v>5.8</v>
      </c>
      <c r="F9" s="39">
        <v>0.5</v>
      </c>
      <c r="G9" s="41">
        <v>0.15</v>
      </c>
      <c r="H9" s="361"/>
      <c r="I9" s="42">
        <f t="shared" ref="I9:I11" si="8">E9*(1-F9)*(1-G9)</f>
        <v>2.4649999999999999</v>
      </c>
      <c r="J9" s="40">
        <v>4.5</v>
      </c>
      <c r="K9" s="174">
        <f t="shared" si="0"/>
        <v>0.49635886010707281</v>
      </c>
      <c r="L9" s="184">
        <f t="shared" si="2"/>
        <v>0.92864030858244961</v>
      </c>
      <c r="M9" s="169">
        <v>0.2</v>
      </c>
      <c r="N9" s="364"/>
      <c r="O9" s="42">
        <f t="shared" si="3"/>
        <v>2.3199999999999998</v>
      </c>
      <c r="P9" s="170">
        <f t="shared" si="6"/>
        <v>4.2455999999999996</v>
      </c>
      <c r="Q9" s="173">
        <f t="shared" si="4"/>
        <v>0.49999999999999989</v>
      </c>
      <c r="R9" s="169">
        <v>0.25</v>
      </c>
      <c r="S9" s="364"/>
      <c r="T9" s="42">
        <f t="shared" si="7"/>
        <v>2.1749999999999998</v>
      </c>
      <c r="U9" s="170">
        <f>+T9*1.22*1.5</f>
        <v>3.9802499999999998</v>
      </c>
      <c r="V9" s="174">
        <f t="shared" si="5"/>
        <v>0.5</v>
      </c>
    </row>
    <row r="10" spans="1:22" x14ac:dyDescent="0.35">
      <c r="A10" s="33" t="s">
        <v>22</v>
      </c>
      <c r="B10" s="34" t="s">
        <v>14</v>
      </c>
      <c r="C10" s="35">
        <v>6</v>
      </c>
      <c r="D10" s="35">
        <v>984999324</v>
      </c>
      <c r="E10" s="38">
        <v>8</v>
      </c>
      <c r="F10" s="39">
        <v>0.5</v>
      </c>
      <c r="G10" s="41">
        <v>0.15</v>
      </c>
      <c r="H10" s="361"/>
      <c r="I10" s="42">
        <f t="shared" si="8"/>
        <v>3.4</v>
      </c>
      <c r="J10" s="40">
        <v>6.2</v>
      </c>
      <c r="K10" s="174">
        <f t="shared" si="0"/>
        <v>0.49469623915139826</v>
      </c>
      <c r="L10" s="184">
        <f t="shared" si="2"/>
        <v>0.9286403085824495</v>
      </c>
      <c r="M10" s="169">
        <v>0.2</v>
      </c>
      <c r="N10" s="364"/>
      <c r="O10" s="42">
        <f t="shared" si="3"/>
        <v>3.2</v>
      </c>
      <c r="P10" s="170">
        <v>5.85</v>
      </c>
      <c r="Q10" s="173">
        <f t="shared" si="4"/>
        <v>0.49846311475409827</v>
      </c>
      <c r="R10" s="169">
        <v>0.25</v>
      </c>
      <c r="S10" s="364"/>
      <c r="T10" s="42">
        <f>+E10*(1-F10)*(1-R10)</f>
        <v>3</v>
      </c>
      <c r="U10" s="170">
        <f t="shared" ref="U10:U11" si="9">+T10*1.22*1.5</f>
        <v>5.49</v>
      </c>
      <c r="V10" s="174">
        <f t="shared" si="5"/>
        <v>0.5</v>
      </c>
    </row>
    <row r="11" spans="1:22" x14ac:dyDescent="0.35">
      <c r="A11" s="33" t="s">
        <v>23</v>
      </c>
      <c r="B11" s="34" t="s">
        <v>24</v>
      </c>
      <c r="C11" s="35">
        <v>6</v>
      </c>
      <c r="D11" s="37">
        <v>984999336</v>
      </c>
      <c r="E11" s="38">
        <v>10.48</v>
      </c>
      <c r="F11" s="39">
        <v>0.5</v>
      </c>
      <c r="G11" s="41">
        <v>0.15</v>
      </c>
      <c r="H11" s="361"/>
      <c r="I11" s="42">
        <f t="shared" si="8"/>
        <v>4.4539999999999997</v>
      </c>
      <c r="J11" s="40">
        <f t="shared" ref="J11:J12" si="10">+I11*1.22*1.5</f>
        <v>8.1508199999999995</v>
      </c>
      <c r="K11" s="174">
        <f t="shared" si="0"/>
        <v>0.50000000000000011</v>
      </c>
      <c r="L11" s="184">
        <f t="shared" si="2"/>
        <v>0.92864030858244939</v>
      </c>
      <c r="M11" s="169">
        <v>0.2</v>
      </c>
      <c r="N11" s="364"/>
      <c r="O11" s="42">
        <f t="shared" si="3"/>
        <v>4.1920000000000002</v>
      </c>
      <c r="P11" s="170">
        <v>7.65</v>
      </c>
      <c r="Q11" s="173">
        <f t="shared" si="4"/>
        <v>0.49582342635464899</v>
      </c>
      <c r="R11" s="169">
        <v>0.25</v>
      </c>
      <c r="S11" s="364"/>
      <c r="T11" s="42">
        <f t="shared" si="7"/>
        <v>3.93</v>
      </c>
      <c r="U11" s="170">
        <f t="shared" si="9"/>
        <v>7.1919000000000004</v>
      </c>
      <c r="V11" s="174">
        <f t="shared" si="5"/>
        <v>0.50000000000000011</v>
      </c>
    </row>
    <row r="12" spans="1:22" x14ac:dyDescent="0.35">
      <c r="A12" s="33" t="s">
        <v>25</v>
      </c>
      <c r="B12" s="34" t="s">
        <v>26</v>
      </c>
      <c r="C12" s="35">
        <v>6</v>
      </c>
      <c r="D12" s="35">
        <v>984999348</v>
      </c>
      <c r="E12" s="38">
        <v>15.8</v>
      </c>
      <c r="F12" s="39">
        <v>0.5</v>
      </c>
      <c r="G12" s="41">
        <v>0.15</v>
      </c>
      <c r="H12" s="361"/>
      <c r="I12" s="42">
        <f>E12*(1-F12)*(1-G12)</f>
        <v>6.7149999999999999</v>
      </c>
      <c r="J12" s="40">
        <f t="shared" si="10"/>
        <v>12.288449999999999</v>
      </c>
      <c r="K12" s="174">
        <f t="shared" si="0"/>
        <v>0.5</v>
      </c>
      <c r="L12" s="184">
        <f t="shared" si="2"/>
        <v>0.9286403085824495</v>
      </c>
      <c r="M12" s="169">
        <v>0.2</v>
      </c>
      <c r="N12" s="364"/>
      <c r="O12" s="42">
        <f t="shared" si="3"/>
        <v>6.32</v>
      </c>
      <c r="P12" s="170">
        <v>11.55</v>
      </c>
      <c r="Q12" s="173">
        <f t="shared" si="4"/>
        <v>0.49797675866362318</v>
      </c>
      <c r="R12" s="169">
        <v>0.25</v>
      </c>
      <c r="S12" s="364"/>
      <c r="T12" s="42">
        <f>+E12*(1-F12)*(1-R12)</f>
        <v>5.9250000000000007</v>
      </c>
      <c r="U12" s="170">
        <v>10.8</v>
      </c>
      <c r="V12" s="174">
        <f t="shared" si="5"/>
        <v>0.49408590993982138</v>
      </c>
    </row>
    <row r="13" spans="1:22" ht="15" thickBot="1" x14ac:dyDescent="0.4">
      <c r="A13" s="43" t="s">
        <v>27</v>
      </c>
      <c r="B13" s="44" t="s">
        <v>28</v>
      </c>
      <c r="C13" s="45">
        <v>6</v>
      </c>
      <c r="D13" s="45">
        <v>984999351</v>
      </c>
      <c r="E13" s="46">
        <v>13.8</v>
      </c>
      <c r="F13" s="47">
        <v>0.5</v>
      </c>
      <c r="G13" s="48">
        <v>0.15</v>
      </c>
      <c r="H13" s="362"/>
      <c r="I13" s="49">
        <f>E13*(1-F13)*(1-G13)</f>
        <v>5.8650000000000002</v>
      </c>
      <c r="J13" s="50">
        <v>10.75</v>
      </c>
      <c r="K13" s="178">
        <f t="shared" si="0"/>
        <v>0.50238284907690789</v>
      </c>
      <c r="L13" s="185">
        <f t="shared" si="2"/>
        <v>0.9286403085824495</v>
      </c>
      <c r="M13" s="175">
        <v>0.2</v>
      </c>
      <c r="N13" s="365"/>
      <c r="O13" s="49">
        <f t="shared" si="3"/>
        <v>5.5200000000000005</v>
      </c>
      <c r="P13" s="176">
        <f t="shared" si="6"/>
        <v>10.101600000000001</v>
      </c>
      <c r="Q13" s="177">
        <f t="shared" si="4"/>
        <v>0.50000000000000011</v>
      </c>
      <c r="R13" s="175">
        <v>0.25</v>
      </c>
      <c r="S13" s="365"/>
      <c r="T13" s="49">
        <f>+E13*(1-F13)*(1-R13)</f>
        <v>5.1750000000000007</v>
      </c>
      <c r="U13" s="176">
        <v>9.4499999999999993</v>
      </c>
      <c r="V13" s="178">
        <f t="shared" si="5"/>
        <v>0.49679258731290066</v>
      </c>
    </row>
    <row r="14" spans="1:22" ht="15" thickBot="1" x14ac:dyDescent="0.4">
      <c r="A14" s="12" t="s">
        <v>29</v>
      </c>
      <c r="B14" s="51"/>
      <c r="C14" s="51"/>
      <c r="D14" s="52"/>
      <c r="E14" s="53"/>
      <c r="F14" s="54"/>
      <c r="G14" s="54"/>
      <c r="H14" s="55"/>
      <c r="I14" s="56"/>
      <c r="J14" s="57"/>
      <c r="K14" s="179"/>
      <c r="L14" s="186"/>
      <c r="M14" s="54"/>
      <c r="N14" s="55"/>
      <c r="O14" s="56"/>
      <c r="P14" s="57"/>
      <c r="Q14" s="179"/>
      <c r="R14" s="54"/>
      <c r="S14" s="55"/>
      <c r="T14" s="56"/>
      <c r="U14" s="57"/>
      <c r="V14" s="179"/>
    </row>
    <row r="15" spans="1:22" x14ac:dyDescent="0.35">
      <c r="A15" s="16" t="s">
        <v>30</v>
      </c>
      <c r="B15" s="17" t="s">
        <v>17</v>
      </c>
      <c r="C15" s="18">
        <v>6</v>
      </c>
      <c r="D15" s="19">
        <v>984999375</v>
      </c>
      <c r="E15" s="20">
        <v>14.18</v>
      </c>
      <c r="F15" s="21">
        <v>0.5</v>
      </c>
      <c r="G15" s="22">
        <v>0.15</v>
      </c>
      <c r="H15" s="360">
        <v>1</v>
      </c>
      <c r="I15" s="23">
        <f>E15*(1-F15)*(1-G15)</f>
        <v>6.0264999999999995</v>
      </c>
      <c r="J15" s="24">
        <v>11.05</v>
      </c>
      <c r="K15" s="168">
        <f t="shared" ref="K15:K21" si="11">(J15/1.22-I15)/I15</f>
        <v>0.5029249231196099</v>
      </c>
      <c r="L15" s="182">
        <f t="shared" ref="L15:L20" si="12">+(E15/1.22-I15)/I15</f>
        <v>0.92864030858244939</v>
      </c>
      <c r="M15" s="165">
        <v>0.2</v>
      </c>
      <c r="N15" s="363">
        <v>2</v>
      </c>
      <c r="O15" s="23">
        <f t="shared" si="3"/>
        <v>5.6720000000000006</v>
      </c>
      <c r="P15" s="166">
        <f t="shared" ref="P15:P19" si="13">+O15*1.22*1.5</f>
        <v>10.379760000000001</v>
      </c>
      <c r="Q15" s="167">
        <f t="shared" ref="Q15:Q19" si="14">(P15/1.22-O15)/O15</f>
        <v>0.5</v>
      </c>
      <c r="R15" s="165">
        <v>0.25</v>
      </c>
      <c r="S15" s="363">
        <v>3</v>
      </c>
      <c r="T15" s="23">
        <f t="shared" si="7"/>
        <v>5.3174999999999999</v>
      </c>
      <c r="U15" s="166">
        <v>9.6999999999999993</v>
      </c>
      <c r="V15" s="168">
        <f t="shared" ref="V15:V19" si="15">(U15/1.22-T15)/T15</f>
        <v>0.49521761582156038</v>
      </c>
    </row>
    <row r="16" spans="1:22" x14ac:dyDescent="0.35">
      <c r="A16" s="33" t="s">
        <v>31</v>
      </c>
      <c r="B16" s="34" t="s">
        <v>24</v>
      </c>
      <c r="C16" s="35">
        <v>6</v>
      </c>
      <c r="D16" s="35">
        <v>984999387</v>
      </c>
      <c r="E16" s="38">
        <v>15.1</v>
      </c>
      <c r="F16" s="39">
        <v>0.5</v>
      </c>
      <c r="G16" s="41">
        <v>0.15</v>
      </c>
      <c r="H16" s="361"/>
      <c r="I16" s="42">
        <f>E16*(1-F16)*(1-G16)</f>
        <v>6.4174999999999995</v>
      </c>
      <c r="J16" s="40">
        <v>11.75</v>
      </c>
      <c r="K16" s="174">
        <f t="shared" si="11"/>
        <v>0.50076315402938953</v>
      </c>
      <c r="L16" s="184">
        <f t="shared" si="12"/>
        <v>0.92864030858244961</v>
      </c>
      <c r="M16" s="169">
        <v>0.2</v>
      </c>
      <c r="N16" s="364"/>
      <c r="O16" s="42">
        <f t="shared" si="3"/>
        <v>6.04</v>
      </c>
      <c r="P16" s="170">
        <f t="shared" si="13"/>
        <v>11.0532</v>
      </c>
      <c r="Q16" s="173">
        <f t="shared" si="14"/>
        <v>0.50000000000000011</v>
      </c>
      <c r="R16" s="169">
        <v>0.25</v>
      </c>
      <c r="S16" s="364"/>
      <c r="T16" s="42">
        <f>+E16*(1-F16)*(1-R16)</f>
        <v>5.6624999999999996</v>
      </c>
      <c r="U16" s="170">
        <v>10.35</v>
      </c>
      <c r="V16" s="174">
        <f t="shared" si="15"/>
        <v>0.49820866355444587</v>
      </c>
    </row>
    <row r="17" spans="1:27" x14ac:dyDescent="0.35">
      <c r="A17" s="58" t="s">
        <v>32</v>
      </c>
      <c r="B17" s="59" t="s">
        <v>33</v>
      </c>
      <c r="C17" s="60">
        <v>6</v>
      </c>
      <c r="D17" s="62">
        <v>984999399</v>
      </c>
      <c r="E17" s="63">
        <v>8</v>
      </c>
      <c r="F17" s="39">
        <v>0.5</v>
      </c>
      <c r="G17" s="41">
        <v>0.15</v>
      </c>
      <c r="H17" s="361"/>
      <c r="I17" s="42">
        <f>E17*(1-F17)*(1-G17)</f>
        <v>3.4</v>
      </c>
      <c r="J17" s="64">
        <v>6.2</v>
      </c>
      <c r="K17" s="174">
        <f t="shared" si="11"/>
        <v>0.49469623915139826</v>
      </c>
      <c r="L17" s="173">
        <f t="shared" si="12"/>
        <v>0.9286403085824495</v>
      </c>
      <c r="M17" s="169">
        <v>0.2</v>
      </c>
      <c r="N17" s="364"/>
      <c r="O17" s="42">
        <f t="shared" si="3"/>
        <v>3.2</v>
      </c>
      <c r="P17" s="180">
        <v>5.85</v>
      </c>
      <c r="Q17" s="173">
        <f t="shared" si="14"/>
        <v>0.49846311475409827</v>
      </c>
      <c r="R17" s="169">
        <v>0.25</v>
      </c>
      <c r="S17" s="364"/>
      <c r="T17" s="42">
        <f t="shared" si="7"/>
        <v>3</v>
      </c>
      <c r="U17" s="180">
        <f t="shared" ref="U17:U19" si="16">+T17*1.22*1.5</f>
        <v>5.49</v>
      </c>
      <c r="V17" s="174">
        <f t="shared" si="15"/>
        <v>0.5</v>
      </c>
    </row>
    <row r="18" spans="1:27" x14ac:dyDescent="0.35">
      <c r="A18" s="33" t="s">
        <v>34</v>
      </c>
      <c r="B18" s="34" t="s">
        <v>14</v>
      </c>
      <c r="C18" s="35">
        <v>6</v>
      </c>
      <c r="D18" s="37">
        <v>984999401</v>
      </c>
      <c r="E18" s="38">
        <v>12.28</v>
      </c>
      <c r="F18" s="39">
        <v>0.5</v>
      </c>
      <c r="G18" s="41">
        <v>0.15</v>
      </c>
      <c r="H18" s="361"/>
      <c r="I18" s="42">
        <f>E18*(1-F18)*(1-G18)</f>
        <v>5.2189999999999994</v>
      </c>
      <c r="J18" s="40">
        <f t="shared" ref="J18:J19" si="17">+I18*1.22*1.5</f>
        <v>9.55077</v>
      </c>
      <c r="K18" s="174">
        <f t="shared" si="11"/>
        <v>0.50000000000000022</v>
      </c>
      <c r="L18" s="184">
        <f t="shared" si="12"/>
        <v>0.92864030858244939</v>
      </c>
      <c r="M18" s="169">
        <v>0.2</v>
      </c>
      <c r="N18" s="364"/>
      <c r="O18" s="42">
        <f t="shared" si="3"/>
        <v>4.9119999999999999</v>
      </c>
      <c r="P18" s="170">
        <f t="shared" si="13"/>
        <v>8.9889599999999987</v>
      </c>
      <c r="Q18" s="173">
        <f t="shared" si="14"/>
        <v>0.49999999999999989</v>
      </c>
      <c r="R18" s="169">
        <v>0.25</v>
      </c>
      <c r="S18" s="364"/>
      <c r="T18" s="42">
        <f>+E18*(1-F18)*(1-R18)</f>
        <v>4.6049999999999995</v>
      </c>
      <c r="U18" s="170">
        <v>8.4</v>
      </c>
      <c r="V18" s="174">
        <f t="shared" si="15"/>
        <v>0.49516740535056364</v>
      </c>
    </row>
    <row r="19" spans="1:27" ht="15" thickBot="1" x14ac:dyDescent="0.4">
      <c r="A19" s="43" t="s">
        <v>35</v>
      </c>
      <c r="B19" s="44" t="s">
        <v>36</v>
      </c>
      <c r="C19" s="45">
        <v>6</v>
      </c>
      <c r="D19" s="45">
        <v>984999413</v>
      </c>
      <c r="E19" s="46">
        <v>9.9</v>
      </c>
      <c r="F19" s="47">
        <v>0.5</v>
      </c>
      <c r="G19" s="48">
        <v>0.15</v>
      </c>
      <c r="H19" s="362"/>
      <c r="I19" s="49">
        <f>E19*(1-F19)*(1-G19)</f>
        <v>4.2075000000000005</v>
      </c>
      <c r="J19" s="50">
        <f t="shared" si="17"/>
        <v>7.6997250000000008</v>
      </c>
      <c r="K19" s="178">
        <f t="shared" si="11"/>
        <v>0.50000000000000011</v>
      </c>
      <c r="L19" s="185">
        <f t="shared" si="12"/>
        <v>0.92864030858244928</v>
      </c>
      <c r="M19" s="175">
        <v>0.2</v>
      </c>
      <c r="N19" s="365"/>
      <c r="O19" s="49">
        <f t="shared" si="3"/>
        <v>3.9600000000000004</v>
      </c>
      <c r="P19" s="176">
        <f t="shared" si="13"/>
        <v>7.2468000000000012</v>
      </c>
      <c r="Q19" s="177">
        <f t="shared" si="14"/>
        <v>0.50000000000000022</v>
      </c>
      <c r="R19" s="175">
        <v>0.25</v>
      </c>
      <c r="S19" s="365"/>
      <c r="T19" s="49">
        <f>+E19*(1-F19)*(1-R19)</f>
        <v>3.7125000000000004</v>
      </c>
      <c r="U19" s="176">
        <f t="shared" si="16"/>
        <v>6.7938749999999999</v>
      </c>
      <c r="V19" s="178">
        <f t="shared" si="15"/>
        <v>0.49999999999999978</v>
      </c>
    </row>
    <row r="20" spans="1:27" x14ac:dyDescent="0.35">
      <c r="A20" s="376" t="s">
        <v>37</v>
      </c>
      <c r="B20" s="379" t="s">
        <v>38</v>
      </c>
      <c r="C20" s="367">
        <v>10</v>
      </c>
      <c r="D20" s="346">
        <v>984999425</v>
      </c>
      <c r="E20" s="348">
        <v>7.58</v>
      </c>
      <c r="F20" s="350">
        <v>0.5</v>
      </c>
      <c r="G20" s="65">
        <v>0.2</v>
      </c>
      <c r="H20" s="66">
        <v>1</v>
      </c>
      <c r="I20" s="67">
        <f>+E20*(1-F20)*(1-G20)</f>
        <v>3.032</v>
      </c>
      <c r="J20" s="68">
        <f>+I20*1.22*1.5</f>
        <v>5.5485600000000002</v>
      </c>
      <c r="K20" s="172">
        <f t="shared" si="11"/>
        <v>0.5</v>
      </c>
      <c r="L20" s="172">
        <f t="shared" si="12"/>
        <v>1.0491803278688525</v>
      </c>
      <c r="M20" s="187"/>
      <c r="N20" s="187"/>
      <c r="O20" s="187"/>
      <c r="P20" s="187"/>
      <c r="Q20" s="187"/>
      <c r="R20" s="187"/>
      <c r="S20" s="187"/>
      <c r="T20" s="187"/>
      <c r="U20" s="187"/>
      <c r="V20" s="187"/>
    </row>
    <row r="21" spans="1:27" ht="15" thickBot="1" x14ac:dyDescent="0.4">
      <c r="A21" s="377"/>
      <c r="B21" s="380"/>
      <c r="C21" s="368"/>
      <c r="D21" s="347"/>
      <c r="E21" s="349" t="e">
        <v>#N/A</v>
      </c>
      <c r="F21" s="351"/>
      <c r="G21" s="69">
        <v>0.25</v>
      </c>
      <c r="H21" s="70">
        <v>2</v>
      </c>
      <c r="I21" s="71">
        <f>+E20*(1-F20)*(1-G21)</f>
        <v>2.8425000000000002</v>
      </c>
      <c r="J21" s="72">
        <f>+I21*1.22*1.5</f>
        <v>5.2017750000000005</v>
      </c>
      <c r="K21" s="178">
        <f t="shared" si="11"/>
        <v>0.50000000000000011</v>
      </c>
      <c r="L21" s="178">
        <f>+(E20/1.22-I21)/I21</f>
        <v>1.1857923497267757</v>
      </c>
      <c r="M21" s="187"/>
      <c r="N21" s="187"/>
      <c r="O21" s="187"/>
      <c r="P21" s="187"/>
      <c r="Q21" s="187"/>
      <c r="R21" s="187"/>
      <c r="S21" s="187"/>
      <c r="T21" s="187"/>
      <c r="U21" s="187"/>
      <c r="V21" s="187"/>
    </row>
    <row r="22" spans="1:27" ht="15" thickBot="1" x14ac:dyDescent="0.4">
      <c r="A22" s="73" t="s">
        <v>39</v>
      </c>
      <c r="B22" s="51"/>
      <c r="C22" s="51"/>
      <c r="D22" s="51"/>
      <c r="E22" s="51"/>
      <c r="F22" s="51"/>
      <c r="G22" s="52"/>
      <c r="H22" s="52"/>
      <c r="I22" s="52"/>
      <c r="J22" s="53"/>
      <c r="K22" s="74"/>
      <c r="L22" s="54"/>
      <c r="M22" s="55"/>
      <c r="N22" s="57"/>
      <c r="O22" s="75"/>
      <c r="P22" s="188"/>
      <c r="Q22" s="188"/>
      <c r="R22" s="187"/>
      <c r="S22" s="187"/>
      <c r="T22" s="187"/>
      <c r="U22" s="187"/>
      <c r="V22" s="187"/>
      <c r="W22" s="187"/>
      <c r="X22" s="187"/>
      <c r="Y22" s="187"/>
      <c r="Z22" s="187"/>
      <c r="AA22" s="187"/>
    </row>
    <row r="23" spans="1:27" ht="15" thickBot="1" x14ac:dyDescent="0.4">
      <c r="A23" s="76" t="s">
        <v>40</v>
      </c>
      <c r="B23" s="77" t="s">
        <v>33</v>
      </c>
      <c r="C23" s="78">
        <v>6</v>
      </c>
      <c r="D23" s="78">
        <v>6</v>
      </c>
      <c r="E23" s="78">
        <v>384</v>
      </c>
      <c r="F23" s="79">
        <v>2304</v>
      </c>
      <c r="G23" s="80" t="s">
        <v>41</v>
      </c>
      <c r="H23" s="81">
        <v>984999437</v>
      </c>
      <c r="I23" s="82">
        <v>4062300421783</v>
      </c>
      <c r="J23" s="83">
        <v>10.9</v>
      </c>
      <c r="K23" s="84">
        <v>0.5</v>
      </c>
      <c r="L23" s="85">
        <v>0.28000000000000003</v>
      </c>
      <c r="M23" s="86">
        <v>1</v>
      </c>
      <c r="N23" s="87">
        <f>J23*(1-K23)*(1-L23)</f>
        <v>3.9239999999999999</v>
      </c>
      <c r="O23" s="88">
        <f>+N23*1.22*1.5</f>
        <v>7.1809200000000004</v>
      </c>
      <c r="P23" s="189">
        <f>(O23/1.22-N23)/N23</f>
        <v>0.50000000000000011</v>
      </c>
      <c r="Q23" s="189">
        <f>+(J23/1.22-N23)/N23</f>
        <v>1.276867030965392</v>
      </c>
      <c r="R23" s="187"/>
      <c r="S23" s="187"/>
      <c r="T23" s="187"/>
      <c r="U23" s="187"/>
      <c r="V23" s="187"/>
      <c r="W23" s="187"/>
      <c r="X23" s="187"/>
      <c r="Y23" s="187"/>
      <c r="Z23" s="187"/>
      <c r="AA23" s="187"/>
    </row>
    <row r="24" spans="1:27" ht="15" thickBot="1" x14ac:dyDescent="0.4">
      <c r="A24" s="89" t="s">
        <v>42</v>
      </c>
      <c r="B24" s="51"/>
      <c r="C24" s="51"/>
      <c r="D24" s="51"/>
      <c r="E24" s="51"/>
      <c r="F24" s="51"/>
      <c r="G24" s="52"/>
      <c r="H24" s="52"/>
      <c r="I24" s="52"/>
      <c r="J24" s="53"/>
      <c r="K24" s="74"/>
      <c r="L24" s="54"/>
      <c r="M24" s="55"/>
      <c r="N24" s="57"/>
      <c r="O24" s="75"/>
      <c r="P24" s="188"/>
      <c r="Q24" s="188"/>
      <c r="R24" s="187"/>
      <c r="S24" s="187"/>
      <c r="T24" s="187"/>
      <c r="U24" s="187"/>
      <c r="V24" s="187"/>
      <c r="W24" s="187"/>
      <c r="X24" s="187"/>
      <c r="Y24" s="187"/>
      <c r="Z24" s="187"/>
      <c r="AA24" s="187"/>
    </row>
    <row r="25" spans="1:27" x14ac:dyDescent="0.35">
      <c r="A25" s="375" t="s">
        <v>43</v>
      </c>
      <c r="B25" s="378" t="s">
        <v>44</v>
      </c>
      <c r="C25" s="366">
        <v>6</v>
      </c>
      <c r="D25" s="366">
        <v>5</v>
      </c>
      <c r="E25" s="366">
        <v>320</v>
      </c>
      <c r="F25" s="369">
        <v>1920</v>
      </c>
      <c r="G25" s="372" t="s">
        <v>45</v>
      </c>
      <c r="H25" s="352">
        <v>984235921</v>
      </c>
      <c r="I25" s="353">
        <v>42241232</v>
      </c>
      <c r="J25" s="356">
        <v>21.39</v>
      </c>
      <c r="K25" s="358">
        <v>0.5</v>
      </c>
      <c r="L25" s="90">
        <v>0.2</v>
      </c>
      <c r="M25" s="91">
        <v>1</v>
      </c>
      <c r="N25" s="92">
        <f>$K$26*(1-$L$26)*(1-L25)</f>
        <v>0</v>
      </c>
      <c r="O25" s="93">
        <v>13.9</v>
      </c>
      <c r="P25" s="168" t="e">
        <f>(O25/1.22-N25)/N25</f>
        <v>#DIV/0!</v>
      </c>
      <c r="Q25" s="168" t="e">
        <f>+($K$26/1.22-N25)/N25</f>
        <v>#DIV/0!</v>
      </c>
      <c r="R25" s="187"/>
      <c r="S25" s="187"/>
      <c r="T25" s="187"/>
      <c r="U25" s="187"/>
      <c r="V25" s="187"/>
      <c r="W25" s="187"/>
      <c r="X25" s="187"/>
      <c r="Y25" s="187"/>
      <c r="Z25" s="187"/>
      <c r="AA25" s="187"/>
    </row>
    <row r="26" spans="1:27" x14ac:dyDescent="0.35">
      <c r="A26" s="376"/>
      <c r="B26" s="379"/>
      <c r="C26" s="367"/>
      <c r="D26" s="367"/>
      <c r="E26" s="367"/>
      <c r="F26" s="370"/>
      <c r="G26" s="373"/>
      <c r="H26" s="346"/>
      <c r="I26" s="354"/>
      <c r="J26" s="357"/>
      <c r="K26" s="359"/>
      <c r="L26" s="94">
        <v>0.25</v>
      </c>
      <c r="M26" s="95">
        <v>2</v>
      </c>
      <c r="N26" s="96">
        <f>$K$26*(1-$L$26)*(1-L26)</f>
        <v>0</v>
      </c>
      <c r="O26" s="97">
        <v>13.9</v>
      </c>
      <c r="P26" s="190" t="e">
        <f>(O26/1.22-N26)/N26</f>
        <v>#DIV/0!</v>
      </c>
      <c r="Q26" s="190" t="e">
        <f>+($K$26/1.22-N26)/N26</f>
        <v>#DIV/0!</v>
      </c>
      <c r="R26" s="187"/>
      <c r="S26" s="187"/>
      <c r="T26" s="187"/>
      <c r="U26" s="187"/>
      <c r="V26" s="187"/>
      <c r="W26" s="187"/>
      <c r="X26" s="187"/>
      <c r="Y26" s="187"/>
      <c r="Z26" s="187"/>
      <c r="AA26" s="187"/>
    </row>
    <row r="27" spans="1:27" ht="15" thickBot="1" x14ac:dyDescent="0.4">
      <c r="A27" s="377" t="s">
        <v>43</v>
      </c>
      <c r="B27" s="380" t="s">
        <v>44</v>
      </c>
      <c r="C27" s="368">
        <v>6</v>
      </c>
      <c r="D27" s="368">
        <v>5</v>
      </c>
      <c r="E27" s="368">
        <v>320</v>
      </c>
      <c r="F27" s="371">
        <v>1920</v>
      </c>
      <c r="G27" s="374" t="s">
        <v>45</v>
      </c>
      <c r="H27" s="347">
        <v>984235921</v>
      </c>
      <c r="I27" s="355">
        <v>42241232</v>
      </c>
      <c r="J27" s="349">
        <v>21.39</v>
      </c>
      <c r="K27" s="351">
        <v>0.5</v>
      </c>
      <c r="L27" s="69">
        <v>0.3</v>
      </c>
      <c r="M27" s="70">
        <v>3</v>
      </c>
      <c r="N27" s="71">
        <f>$K$26*(1-$L$26)*(1-L27)</f>
        <v>0</v>
      </c>
      <c r="O27" s="72">
        <v>13.9</v>
      </c>
      <c r="P27" s="178" t="e">
        <f t="shared" ref="P27" si="18">(O27/1.22-N27)/N27</f>
        <v>#DIV/0!</v>
      </c>
      <c r="Q27" s="178" t="e">
        <f>+($K$26/1.22-N27)/N27</f>
        <v>#DIV/0!</v>
      </c>
      <c r="R27" s="187"/>
      <c r="S27" s="187"/>
      <c r="T27" s="187"/>
      <c r="U27" s="187"/>
      <c r="V27" s="187"/>
      <c r="W27" s="187"/>
      <c r="X27" s="187"/>
      <c r="Y27" s="187"/>
      <c r="Z27" s="187"/>
      <c r="AA27" s="187"/>
    </row>
    <row r="28" spans="1:27" ht="15" thickBot="1" x14ac:dyDescent="0.4">
      <c r="A28" s="98"/>
      <c r="B28" s="99"/>
      <c r="C28" s="99"/>
      <c r="D28" s="99"/>
      <c r="E28" s="99"/>
      <c r="F28" s="99"/>
      <c r="G28" s="99"/>
      <c r="H28" s="100"/>
      <c r="I28" s="100"/>
      <c r="J28" s="100"/>
      <c r="K28" s="100"/>
      <c r="L28" s="100"/>
      <c r="M28" s="100"/>
      <c r="N28" s="100"/>
      <c r="O28" s="57"/>
      <c r="P28" s="191"/>
      <c r="Q28" s="191"/>
      <c r="R28" s="100"/>
      <c r="S28" s="100"/>
      <c r="T28" s="100"/>
      <c r="U28" s="57"/>
      <c r="V28" s="191"/>
      <c r="W28" s="100"/>
      <c r="X28" s="100"/>
      <c r="Y28" s="100"/>
      <c r="Z28" s="57"/>
      <c r="AA28" s="191"/>
    </row>
    <row r="29" spans="1:27" ht="56.5" thickBot="1" x14ac:dyDescent="0.4">
      <c r="A29" s="101" t="s">
        <v>46</v>
      </c>
      <c r="B29" s="2" t="s">
        <v>0</v>
      </c>
      <c r="C29" s="3" t="s">
        <v>47</v>
      </c>
      <c r="D29" s="3"/>
      <c r="E29" s="3" t="s">
        <v>48</v>
      </c>
      <c r="F29" s="102" t="s">
        <v>49</v>
      </c>
      <c r="G29" s="4" t="s">
        <v>50</v>
      </c>
      <c r="H29" s="5" t="s">
        <v>51</v>
      </c>
      <c r="I29" s="103" t="s">
        <v>52</v>
      </c>
      <c r="J29" s="6" t="s">
        <v>6</v>
      </c>
      <c r="K29" s="104" t="s">
        <v>7</v>
      </c>
      <c r="L29" s="7" t="s">
        <v>53</v>
      </c>
      <c r="M29" s="105" t="s">
        <v>54</v>
      </c>
      <c r="N29" s="106" t="s">
        <v>55</v>
      </c>
      <c r="O29" s="107" t="s">
        <v>56</v>
      </c>
      <c r="P29" s="11" t="s">
        <v>91</v>
      </c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</row>
    <row r="30" spans="1:27" ht="15" thickBot="1" x14ac:dyDescent="0.4">
      <c r="A30" s="108" t="s">
        <v>57</v>
      </c>
      <c r="B30" s="99"/>
      <c r="C30" s="99"/>
      <c r="D30" s="99"/>
      <c r="E30" s="99"/>
      <c r="F30" s="99"/>
      <c r="G30" s="99"/>
      <c r="H30" s="99"/>
      <c r="I30" s="100"/>
      <c r="J30" s="109"/>
      <c r="K30" s="110"/>
      <c r="L30" s="110"/>
      <c r="M30" s="55"/>
      <c r="N30" s="111"/>
      <c r="O30" s="14"/>
      <c r="P30" s="14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</row>
    <row r="31" spans="1:27" ht="25" x14ac:dyDescent="0.35">
      <c r="A31" s="16" t="s">
        <v>58</v>
      </c>
      <c r="B31" s="112"/>
      <c r="C31" s="113">
        <v>18</v>
      </c>
      <c r="D31" s="113"/>
      <c r="E31" s="113" t="s">
        <v>59</v>
      </c>
      <c r="F31" s="114" t="s">
        <v>60</v>
      </c>
      <c r="G31" s="112" t="s">
        <v>61</v>
      </c>
      <c r="H31" s="113">
        <v>985631213</v>
      </c>
      <c r="I31" s="115">
        <v>4062300445918</v>
      </c>
      <c r="J31" s="116">
        <f>(E19+E10+E8)*6</f>
        <v>166.07999999999998</v>
      </c>
      <c r="K31" s="21">
        <v>0.5</v>
      </c>
      <c r="L31" s="21">
        <v>0.15</v>
      </c>
      <c r="M31" s="91">
        <v>1</v>
      </c>
      <c r="N31" s="117">
        <f>+J31*(1-K31)*(1-L31)</f>
        <v>70.583999999999989</v>
      </c>
      <c r="O31" s="118"/>
      <c r="P31" s="188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</row>
    <row r="32" spans="1:27" ht="15.5" x14ac:dyDescent="0.35">
      <c r="A32" s="119" t="s">
        <v>62</v>
      </c>
      <c r="B32" s="120" t="s">
        <v>38</v>
      </c>
      <c r="C32" s="121">
        <v>20</v>
      </c>
      <c r="D32" s="121"/>
      <c r="E32" s="35" t="s">
        <v>59</v>
      </c>
      <c r="F32" s="36" t="s">
        <v>60</v>
      </c>
      <c r="G32" s="34" t="s">
        <v>63</v>
      </c>
      <c r="H32" s="35">
        <v>979068766</v>
      </c>
      <c r="I32" s="122">
        <v>4062300376878</v>
      </c>
      <c r="J32" s="123">
        <f>E20*20</f>
        <v>151.6</v>
      </c>
      <c r="K32" s="39">
        <v>0.5</v>
      </c>
      <c r="L32" s="124">
        <v>0.25</v>
      </c>
      <c r="M32" s="125">
        <v>1</v>
      </c>
      <c r="N32" s="126">
        <f>+J32*(1-K32)*(1-L32)</f>
        <v>56.849999999999994</v>
      </c>
      <c r="O32" s="118"/>
      <c r="P32" s="192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</row>
    <row r="33" spans="1:27" ht="25" x14ac:dyDescent="0.35">
      <c r="A33" s="33" t="s">
        <v>64</v>
      </c>
      <c r="B33" s="127"/>
      <c r="C33" s="60">
        <v>36</v>
      </c>
      <c r="D33" s="60"/>
      <c r="E33" s="60" t="s">
        <v>65</v>
      </c>
      <c r="F33" s="61" t="s">
        <v>60</v>
      </c>
      <c r="G33" s="127" t="s">
        <v>66</v>
      </c>
      <c r="H33" s="35">
        <v>989666173</v>
      </c>
      <c r="I33" s="128">
        <v>4062300469778</v>
      </c>
      <c r="J33" s="63">
        <f>(E8*24)+(E12*12)</f>
        <v>424.32</v>
      </c>
      <c r="K33" s="39">
        <v>0.5</v>
      </c>
      <c r="L33" s="39">
        <v>0.15</v>
      </c>
      <c r="M33" s="129">
        <v>1</v>
      </c>
      <c r="N33" s="126">
        <f>+J33*(1-K33)*(1-L33)</f>
        <v>180.33599999999998</v>
      </c>
      <c r="O33" s="130"/>
      <c r="P33" s="191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</row>
    <row r="34" spans="1:27" ht="25.5" thickBot="1" x14ac:dyDescent="0.4">
      <c r="A34" s="131" t="s">
        <v>67</v>
      </c>
      <c r="B34" s="132"/>
      <c r="C34" s="133">
        <v>38</v>
      </c>
      <c r="D34" s="133"/>
      <c r="E34" s="133" t="s">
        <v>65</v>
      </c>
      <c r="F34" s="134" t="s">
        <v>60</v>
      </c>
      <c r="G34" s="132" t="s">
        <v>68</v>
      </c>
      <c r="H34" s="135">
        <v>989666197</v>
      </c>
      <c r="I34" s="136">
        <v>4062300469709</v>
      </c>
      <c r="J34" s="137">
        <f>(E8*12)+(E12*12)+(E10*4)+(E11*4)+(E19*6)</f>
        <v>440.28000000000009</v>
      </c>
      <c r="K34" s="138">
        <v>0.5</v>
      </c>
      <c r="L34" s="138">
        <v>0.15</v>
      </c>
      <c r="M34" s="139">
        <v>1</v>
      </c>
      <c r="N34" s="140">
        <f>+J34*(1-K34)*(1-L34)</f>
        <v>187.11900000000003</v>
      </c>
      <c r="O34" s="118"/>
      <c r="P34" s="191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</row>
    <row r="35" spans="1:27" ht="25" x14ac:dyDescent="0.35">
      <c r="A35" s="141" t="s">
        <v>69</v>
      </c>
      <c r="B35" s="112"/>
      <c r="C35" s="113">
        <v>6</v>
      </c>
      <c r="D35" s="113"/>
      <c r="E35" s="113" t="s">
        <v>70</v>
      </c>
      <c r="F35" s="114" t="s">
        <v>60</v>
      </c>
      <c r="G35" s="112" t="s">
        <v>71</v>
      </c>
      <c r="H35" s="18">
        <v>988716926</v>
      </c>
      <c r="I35" s="115">
        <v>4062300461574</v>
      </c>
      <c r="J35" s="116">
        <f>E13*12</f>
        <v>165.60000000000002</v>
      </c>
      <c r="K35" s="21">
        <v>0.5</v>
      </c>
      <c r="L35" s="21">
        <v>0.4</v>
      </c>
      <c r="M35" s="91">
        <v>1</v>
      </c>
      <c r="N35" s="117">
        <f>+J35*(1-K35)*(1-L35)</f>
        <v>49.680000000000007</v>
      </c>
      <c r="O35" s="142">
        <v>14.9</v>
      </c>
      <c r="P35" s="193">
        <f>(O35/1.22-(N35/C35))/(N35/C35)</f>
        <v>0.47501385919062317</v>
      </c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</row>
    <row r="36" spans="1:27" ht="25" x14ac:dyDescent="0.35">
      <c r="A36" s="143" t="s">
        <v>72</v>
      </c>
      <c r="B36" s="127"/>
      <c r="C36" s="60">
        <v>6</v>
      </c>
      <c r="D36" s="60"/>
      <c r="E36" s="60" t="s">
        <v>70</v>
      </c>
      <c r="F36" s="61" t="s">
        <v>60</v>
      </c>
      <c r="G36" s="127" t="s">
        <v>73</v>
      </c>
      <c r="H36" s="35">
        <v>987263720</v>
      </c>
      <c r="I36" s="128">
        <v>4062300453784</v>
      </c>
      <c r="J36" s="63">
        <f>(E4+E6)*6</f>
        <v>102</v>
      </c>
      <c r="K36" s="39">
        <v>0.5</v>
      </c>
      <c r="L36" s="39">
        <v>0.3</v>
      </c>
      <c r="M36" s="129">
        <v>1</v>
      </c>
      <c r="N36" s="126">
        <f t="shared" ref="N36" si="19">+J36*(1-K36)*(1-L36)</f>
        <v>35.699999999999996</v>
      </c>
      <c r="O36" s="144">
        <v>10.9</v>
      </c>
      <c r="P36" s="194">
        <f>(O36/1.22-(N36/C36))/(N36/C36)</f>
        <v>0.50158424025347881</v>
      </c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</row>
    <row r="37" spans="1:27" ht="25" x14ac:dyDescent="0.35">
      <c r="A37" s="145" t="s">
        <v>74</v>
      </c>
      <c r="B37" s="120"/>
      <c r="C37" s="121">
        <v>3</v>
      </c>
      <c r="D37" s="121"/>
      <c r="E37" s="35" t="s">
        <v>70</v>
      </c>
      <c r="F37" s="36" t="s">
        <v>60</v>
      </c>
      <c r="G37" s="34" t="s">
        <v>75</v>
      </c>
      <c r="H37" s="35">
        <v>950458416</v>
      </c>
      <c r="I37" s="122">
        <v>4062300473218</v>
      </c>
      <c r="J37" s="146">
        <v>149.9</v>
      </c>
      <c r="K37" s="39">
        <v>0.42499999999999999</v>
      </c>
      <c r="L37" s="147">
        <v>0</v>
      </c>
      <c r="M37" s="125">
        <v>1</v>
      </c>
      <c r="N37" s="148">
        <f>+J37*(1-K37)*(1-L37)</f>
        <v>86.192499999999995</v>
      </c>
      <c r="O37" s="149">
        <v>49.9</v>
      </c>
      <c r="P37" s="195">
        <f>(O37/1.22-(N37/C37))/(N37/C37)</f>
        <v>0.42361479285073389</v>
      </c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</row>
    <row r="38" spans="1:27" x14ac:dyDescent="0.35">
      <c r="A38" s="150" t="s">
        <v>76</v>
      </c>
      <c r="B38" s="151"/>
      <c r="C38" s="151"/>
      <c r="D38" s="151"/>
      <c r="E38" s="151"/>
      <c r="F38" s="151"/>
      <c r="G38" s="152"/>
      <c r="H38" s="152"/>
      <c r="I38" s="152"/>
      <c r="J38" s="150"/>
      <c r="K38" s="152"/>
      <c r="L38" s="153"/>
      <c r="M38" s="152"/>
      <c r="N38" s="154"/>
      <c r="O38" s="155"/>
      <c r="P38" s="196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</row>
    <row r="39" spans="1:27" ht="25" x14ac:dyDescent="0.35">
      <c r="A39" s="145" t="s">
        <v>77</v>
      </c>
      <c r="B39" s="120"/>
      <c r="C39" s="121">
        <v>4</v>
      </c>
      <c r="D39" s="121"/>
      <c r="E39" s="35" t="s">
        <v>70</v>
      </c>
      <c r="F39" s="36" t="s">
        <v>60</v>
      </c>
      <c r="G39" s="34" t="s">
        <v>78</v>
      </c>
      <c r="H39" s="35">
        <v>986843555</v>
      </c>
      <c r="I39" s="122">
        <v>4062300451957</v>
      </c>
      <c r="J39" s="146">
        <f>(E13+E17+5.17)*4</f>
        <v>107.88</v>
      </c>
      <c r="K39" s="147">
        <v>0.43</v>
      </c>
      <c r="L39" s="147">
        <v>0</v>
      </c>
      <c r="M39" s="125">
        <v>1</v>
      </c>
      <c r="N39" s="148">
        <f t="shared" ref="N39:N45" si="20">+J39*(1-K39)*(1-L39)</f>
        <v>61.491600000000005</v>
      </c>
      <c r="O39" s="149">
        <v>27</v>
      </c>
      <c r="P39" s="197">
        <f>(O39/1.22-(N39/C39))/(N39/C39)</f>
        <v>0.43962086144992857</v>
      </c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</row>
    <row r="40" spans="1:27" x14ac:dyDescent="0.35">
      <c r="A40" s="150" t="s">
        <v>79</v>
      </c>
      <c r="B40" s="152"/>
      <c r="C40" s="152"/>
      <c r="D40" s="152"/>
      <c r="E40" s="152"/>
      <c r="F40" s="152"/>
      <c r="G40" s="152"/>
      <c r="H40" s="152"/>
      <c r="I40" s="152"/>
      <c r="J40" s="150"/>
      <c r="K40" s="152"/>
      <c r="L40" s="153"/>
      <c r="M40" s="152"/>
      <c r="N40" s="154"/>
      <c r="O40" s="156"/>
      <c r="P40" s="196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</row>
    <row r="41" spans="1:27" ht="25" x14ac:dyDescent="0.35">
      <c r="A41" s="145" t="s">
        <v>80</v>
      </c>
      <c r="B41" s="120"/>
      <c r="C41" s="121">
        <v>4</v>
      </c>
      <c r="D41" s="121"/>
      <c r="E41" s="35" t="s">
        <v>70</v>
      </c>
      <c r="F41" s="36" t="s">
        <v>60</v>
      </c>
      <c r="G41" s="34" t="s">
        <v>81</v>
      </c>
      <c r="H41" s="35">
        <v>985723725</v>
      </c>
      <c r="I41" s="122">
        <v>4062300446342</v>
      </c>
      <c r="J41" s="146">
        <f>(E4+E6+3)*4</f>
        <v>80</v>
      </c>
      <c r="K41" s="39">
        <v>0.5</v>
      </c>
      <c r="L41" s="147">
        <v>0.08</v>
      </c>
      <c r="M41" s="125">
        <v>1</v>
      </c>
      <c r="N41" s="148">
        <f>+J41*(1-K41)*(1-L41)</f>
        <v>36.800000000000004</v>
      </c>
      <c r="O41" s="144">
        <v>16</v>
      </c>
      <c r="P41" s="198">
        <f>(O41/1.22-(N41/C41))/(N41/C41)</f>
        <v>0.42551674982181026</v>
      </c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</row>
    <row r="42" spans="1:27" x14ac:dyDescent="0.35">
      <c r="A42" s="150" t="s">
        <v>82</v>
      </c>
      <c r="B42" s="152"/>
      <c r="C42" s="152"/>
      <c r="D42" s="152"/>
      <c r="E42" s="152"/>
      <c r="F42" s="152"/>
      <c r="G42" s="152"/>
      <c r="H42" s="152"/>
      <c r="I42" s="152"/>
      <c r="J42" s="150"/>
      <c r="K42" s="152"/>
      <c r="L42" s="153"/>
      <c r="M42" s="152"/>
      <c r="N42" s="154"/>
      <c r="O42" s="156"/>
      <c r="P42" s="196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</row>
    <row r="43" spans="1:27" x14ac:dyDescent="0.35">
      <c r="A43" s="145" t="s">
        <v>83</v>
      </c>
      <c r="B43" s="120"/>
      <c r="C43" s="121">
        <v>6</v>
      </c>
      <c r="D43" s="121"/>
      <c r="E43" s="35" t="s">
        <v>70</v>
      </c>
      <c r="F43" s="36" t="s">
        <v>60</v>
      </c>
      <c r="G43" s="34" t="s">
        <v>84</v>
      </c>
      <c r="H43" s="35">
        <v>983038199</v>
      </c>
      <c r="I43" s="122">
        <v>4062300419766</v>
      </c>
      <c r="J43" s="146">
        <f>(E4+E6+E17+3.5)*6</f>
        <v>171</v>
      </c>
      <c r="K43" s="39">
        <v>0.5</v>
      </c>
      <c r="L43" s="147">
        <v>0.15267</v>
      </c>
      <c r="M43" s="125">
        <v>1</v>
      </c>
      <c r="N43" s="148">
        <f t="shared" si="20"/>
        <v>72.446714999999998</v>
      </c>
      <c r="O43" s="144">
        <v>21</v>
      </c>
      <c r="P43" s="198">
        <f>(O43/1.22-(N43/C43))/(N43/C43)</f>
        <v>0.42558138798412271</v>
      </c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</row>
    <row r="44" spans="1:27" x14ac:dyDescent="0.35">
      <c r="A44" s="150" t="s">
        <v>85</v>
      </c>
      <c r="B44" s="152"/>
      <c r="C44" s="152"/>
      <c r="D44" s="152"/>
      <c r="E44" s="152"/>
      <c r="F44" s="152"/>
      <c r="G44" s="152"/>
      <c r="H44" s="152"/>
      <c r="I44" s="152"/>
      <c r="J44" s="150"/>
      <c r="K44" s="152"/>
      <c r="L44" s="153"/>
      <c r="M44" s="152"/>
      <c r="N44" s="154"/>
      <c r="O44" s="156"/>
      <c r="P44" s="196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</row>
    <row r="45" spans="1:27" x14ac:dyDescent="0.35">
      <c r="A45" s="145" t="s">
        <v>86</v>
      </c>
      <c r="B45" s="120"/>
      <c r="C45" s="121">
        <v>4</v>
      </c>
      <c r="D45" s="121"/>
      <c r="E45" s="35" t="s">
        <v>70</v>
      </c>
      <c r="F45" s="36" t="s">
        <v>60</v>
      </c>
      <c r="G45" s="34" t="s">
        <v>87</v>
      </c>
      <c r="H45" s="35">
        <v>983357486</v>
      </c>
      <c r="I45" s="122">
        <v>4062300430860</v>
      </c>
      <c r="J45" s="146">
        <f>(E8+E10+E19)*4</f>
        <v>110.72</v>
      </c>
      <c r="K45" s="39">
        <v>0.5</v>
      </c>
      <c r="L45" s="147">
        <v>0.05</v>
      </c>
      <c r="M45" s="125">
        <v>1</v>
      </c>
      <c r="N45" s="148">
        <f t="shared" si="20"/>
        <v>52.591999999999999</v>
      </c>
      <c r="O45" s="144">
        <v>23</v>
      </c>
      <c r="P45" s="198">
        <f>(O45/1.22-(N45/C45))/(N45/C45)</f>
        <v>0.43386515184008539</v>
      </c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</row>
    <row r="46" spans="1:27" ht="15" thickBot="1" x14ac:dyDescent="0.4">
      <c r="A46" s="157" t="s">
        <v>88</v>
      </c>
      <c r="B46" s="158"/>
      <c r="C46" s="158"/>
      <c r="D46" s="158"/>
      <c r="E46" s="158"/>
      <c r="F46" s="158"/>
      <c r="G46" s="158"/>
      <c r="H46" s="158"/>
      <c r="I46" s="158"/>
      <c r="J46" s="157"/>
      <c r="K46" s="158"/>
      <c r="L46" s="159"/>
      <c r="M46" s="158"/>
      <c r="N46" s="160"/>
      <c r="O46" s="161"/>
      <c r="P46" s="199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</row>
    <row r="47" spans="1:27" x14ac:dyDescent="0.35">
      <c r="O47" s="99"/>
      <c r="P47" s="188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</row>
    <row r="48" spans="1:27" ht="15.5" x14ac:dyDescent="0.35">
      <c r="O48" s="118"/>
      <c r="P48" s="192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</row>
    <row r="49" spans="15:27" ht="15.5" x14ac:dyDescent="0.35">
      <c r="O49" s="118"/>
      <c r="P49" s="192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</row>
    <row r="50" spans="15:27" ht="15.5" x14ac:dyDescent="0.35">
      <c r="O50" s="118"/>
      <c r="P50" s="192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</row>
    <row r="51" spans="15:27" x14ac:dyDescent="0.35">
      <c r="O51" s="55"/>
      <c r="P51" s="110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</row>
    <row r="52" spans="15:27" x14ac:dyDescent="0.35">
      <c r="O52" s="55"/>
      <c r="P52" s="110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</row>
    <row r="53" spans="15:27" ht="15.5" x14ac:dyDescent="0.35">
      <c r="O53" s="118"/>
      <c r="P53" s="192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</row>
    <row r="54" spans="15:27" ht="15.5" x14ac:dyDescent="0.35">
      <c r="O54" s="118"/>
      <c r="P54" s="192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</row>
    <row r="55" spans="15:27" x14ac:dyDescent="0.35">
      <c r="O55" s="99"/>
      <c r="P55" s="188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</row>
    <row r="56" spans="15:27" ht="15.5" x14ac:dyDescent="0.35">
      <c r="O56" s="118"/>
      <c r="P56" s="192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</row>
    <row r="57" spans="15:27" ht="15.5" x14ac:dyDescent="0.35">
      <c r="O57" s="118"/>
      <c r="P57" s="192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</row>
    <row r="58" spans="15:27" x14ac:dyDescent="0.35">
      <c r="O58" s="55"/>
      <c r="P58" s="110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</row>
    <row r="59" spans="15:27" x14ac:dyDescent="0.35">
      <c r="O59" s="99"/>
      <c r="P59" s="188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</row>
    <row r="60" spans="15:27" ht="15.5" x14ac:dyDescent="0.35">
      <c r="O60" s="118"/>
      <c r="P60" s="192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</row>
    <row r="61" spans="15:27" ht="15.5" x14ac:dyDescent="0.35">
      <c r="O61" s="118"/>
      <c r="P61" s="192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</row>
    <row r="62" spans="15:27" x14ac:dyDescent="0.35">
      <c r="O62" s="55"/>
      <c r="P62" s="110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</row>
  </sheetData>
  <mergeCells count="23">
    <mergeCell ref="A25:A27"/>
    <mergeCell ref="B25:B27"/>
    <mergeCell ref="C25:C27"/>
    <mergeCell ref="A20:A21"/>
    <mergeCell ref="B20:B21"/>
    <mergeCell ref="C20:C21"/>
    <mergeCell ref="J25:J27"/>
    <mergeCell ref="K25:K27"/>
    <mergeCell ref="H4:H13"/>
    <mergeCell ref="N4:N13"/>
    <mergeCell ref="S4:S13"/>
    <mergeCell ref="H15:H19"/>
    <mergeCell ref="N15:N19"/>
    <mergeCell ref="S15:S19"/>
    <mergeCell ref="D20:D21"/>
    <mergeCell ref="E20:E21"/>
    <mergeCell ref="F20:F21"/>
    <mergeCell ref="H25:H27"/>
    <mergeCell ref="I25:I27"/>
    <mergeCell ref="D25:D27"/>
    <mergeCell ref="E25:E27"/>
    <mergeCell ref="F25:F27"/>
    <mergeCell ref="G25:G2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1A7E-6F85-43ED-B53B-1A0C15D8C44E}">
  <dimension ref="A2:T25"/>
  <sheetViews>
    <sheetView zoomScale="80" zoomScaleNormal="80" workbookViewId="0">
      <selection activeCell="F5" sqref="F5"/>
    </sheetView>
  </sheetViews>
  <sheetFormatPr defaultRowHeight="14.5" x14ac:dyDescent="0.35"/>
  <cols>
    <col min="1" max="1" width="19" customWidth="1"/>
    <col min="2" max="2" width="17.36328125" customWidth="1"/>
    <col min="3" max="3" width="14.1796875" customWidth="1"/>
    <col min="4" max="4" width="11.08984375" customWidth="1"/>
    <col min="5" max="5" width="16.81640625" customWidth="1"/>
    <col min="6" max="6" width="12.36328125" customWidth="1"/>
    <col min="8" max="8" width="16" customWidth="1"/>
    <col min="9" max="9" width="11.90625" customWidth="1"/>
    <col min="10" max="10" width="13.54296875" customWidth="1"/>
    <col min="11" max="11" width="8.7265625" customWidth="1"/>
    <col min="15" max="15" width="10.1796875" customWidth="1"/>
  </cols>
  <sheetData>
    <row r="2" spans="1:20" ht="18" x14ac:dyDescent="0.35">
      <c r="A2" s="412" t="s">
        <v>92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4"/>
      <c r="T2" s="200"/>
    </row>
    <row r="3" spans="1:20" ht="42" x14ac:dyDescent="0.35">
      <c r="A3" s="201" t="s">
        <v>93</v>
      </c>
      <c r="B3" s="202" t="s">
        <v>1</v>
      </c>
      <c r="C3" s="201" t="s">
        <v>2</v>
      </c>
      <c r="D3" s="201" t="s">
        <v>3</v>
      </c>
      <c r="E3" s="201" t="s">
        <v>4</v>
      </c>
      <c r="F3" s="203" t="s">
        <v>0</v>
      </c>
      <c r="G3" s="203" t="s">
        <v>94</v>
      </c>
      <c r="H3" s="203" t="s">
        <v>51</v>
      </c>
      <c r="I3" s="204" t="s">
        <v>6</v>
      </c>
      <c r="J3" s="205" t="s">
        <v>7</v>
      </c>
      <c r="K3" s="206" t="s">
        <v>53</v>
      </c>
      <c r="L3" s="205" t="s">
        <v>95</v>
      </c>
      <c r="M3" s="205" t="s">
        <v>96</v>
      </c>
      <c r="N3" s="207" t="s">
        <v>10</v>
      </c>
      <c r="O3" s="208" t="s">
        <v>97</v>
      </c>
      <c r="P3" s="208" t="s">
        <v>98</v>
      </c>
      <c r="Q3" s="208" t="s">
        <v>99</v>
      </c>
      <c r="R3" s="209"/>
    </row>
    <row r="4" spans="1:20" x14ac:dyDescent="0.35">
      <c r="A4" s="187"/>
      <c r="B4" s="187"/>
      <c r="C4" s="187"/>
      <c r="D4" s="187"/>
      <c r="E4" s="187"/>
      <c r="F4" s="210"/>
      <c r="G4" s="210"/>
      <c r="H4" s="210"/>
      <c r="I4" s="211"/>
      <c r="J4" s="212"/>
      <c r="K4" s="213"/>
      <c r="L4" s="212"/>
      <c r="M4" s="212"/>
      <c r="N4" s="214"/>
      <c r="O4" s="214"/>
      <c r="P4" s="215"/>
      <c r="Q4" s="216"/>
      <c r="R4" s="200"/>
    </row>
    <row r="5" spans="1:20" ht="28" x14ac:dyDescent="0.35">
      <c r="A5" s="217" t="s">
        <v>100</v>
      </c>
      <c r="B5" s="218">
        <v>16</v>
      </c>
      <c r="C5" s="218">
        <v>4</v>
      </c>
      <c r="D5" s="218">
        <v>56</v>
      </c>
      <c r="E5" s="218">
        <v>896</v>
      </c>
      <c r="F5" s="219" t="s">
        <v>101</v>
      </c>
      <c r="G5" s="220">
        <v>0.22</v>
      </c>
      <c r="H5" s="219">
        <v>988124475</v>
      </c>
      <c r="I5" s="221">
        <v>2.9</v>
      </c>
      <c r="J5" s="220">
        <v>0.5</v>
      </c>
      <c r="K5" s="222">
        <v>0.39</v>
      </c>
      <c r="L5" s="223">
        <v>1</v>
      </c>
      <c r="M5" s="223">
        <f>+L5*$C$5</f>
        <v>4</v>
      </c>
      <c r="N5" s="224">
        <f>I5*(1-J5)*(1-K5)</f>
        <v>0.88449999999999995</v>
      </c>
      <c r="O5" s="225"/>
      <c r="P5" s="226">
        <v>1.5</v>
      </c>
      <c r="Q5" s="227">
        <f>(P5/1.22-N5)/N5</f>
        <v>0.39006014326886557</v>
      </c>
      <c r="R5" s="228" t="s">
        <v>102</v>
      </c>
    </row>
    <row r="6" spans="1:20" x14ac:dyDescent="0.35">
      <c r="A6" s="229"/>
      <c r="B6" s="187"/>
      <c r="C6" s="187"/>
      <c r="D6" s="187"/>
      <c r="E6" s="187"/>
      <c r="F6" s="210"/>
      <c r="G6" s="210"/>
      <c r="H6" s="210"/>
      <c r="I6" s="211"/>
      <c r="J6" s="212"/>
      <c r="K6" s="230"/>
      <c r="L6" s="212"/>
      <c r="M6" s="212"/>
      <c r="N6" s="214"/>
      <c r="O6" s="214"/>
      <c r="P6" s="215"/>
      <c r="Q6" s="216"/>
      <c r="R6" s="231"/>
    </row>
    <row r="7" spans="1:20" x14ac:dyDescent="0.35">
      <c r="A7" s="415" t="s">
        <v>103</v>
      </c>
      <c r="B7" s="393">
        <v>6</v>
      </c>
      <c r="C7" s="416">
        <v>4</v>
      </c>
      <c r="D7" s="284">
        <v>48</v>
      </c>
      <c r="E7" s="284">
        <v>288</v>
      </c>
      <c r="F7" s="410" t="s">
        <v>104</v>
      </c>
      <c r="G7" s="396">
        <v>0.22</v>
      </c>
      <c r="H7" s="400">
        <v>988124499</v>
      </c>
      <c r="I7" s="398">
        <v>10.9</v>
      </c>
      <c r="J7" s="385">
        <v>0.5</v>
      </c>
      <c r="K7" s="232">
        <v>0.29050999999999999</v>
      </c>
      <c r="L7" s="233">
        <v>1</v>
      </c>
      <c r="M7" s="233">
        <f>+L7*$C$7</f>
        <v>4</v>
      </c>
      <c r="N7" s="234">
        <f>I7*(1-J7)*(1-K7)</f>
        <v>3.8667205</v>
      </c>
      <c r="O7" s="235">
        <f>N7/3</f>
        <v>1.2889068333333333</v>
      </c>
      <c r="P7" s="236">
        <v>6.6</v>
      </c>
      <c r="Q7" s="237">
        <f>(P7/1.22-N7)/N7</f>
        <v>0.39907605568433785</v>
      </c>
      <c r="R7" s="231"/>
    </row>
    <row r="8" spans="1:20" x14ac:dyDescent="0.35">
      <c r="A8" s="415"/>
      <c r="B8" s="393">
        <v>4</v>
      </c>
      <c r="C8" s="417"/>
      <c r="D8" s="284">
        <v>72</v>
      </c>
      <c r="E8" s="284">
        <v>288</v>
      </c>
      <c r="F8" s="419"/>
      <c r="G8" s="396"/>
      <c r="H8" s="400"/>
      <c r="I8" s="405"/>
      <c r="J8" s="406"/>
      <c r="K8" s="238">
        <v>0.34211000000000003</v>
      </c>
      <c r="L8" s="239">
        <v>4</v>
      </c>
      <c r="M8" s="239">
        <f>+L8*$C$7</f>
        <v>16</v>
      </c>
      <c r="N8" s="240">
        <f>I7*(1-J7)*(1-K8)</f>
        <v>3.5855005000000002</v>
      </c>
      <c r="O8" s="241">
        <f>N8/3</f>
        <v>1.1951668333333334</v>
      </c>
      <c r="P8" s="242">
        <v>6.1</v>
      </c>
      <c r="Q8" s="243">
        <f>(P8/1.22-N8)/N8</f>
        <v>0.39450545328330028</v>
      </c>
      <c r="R8" s="231"/>
    </row>
    <row r="9" spans="1:20" x14ac:dyDescent="0.35">
      <c r="A9" s="415"/>
      <c r="B9" s="393">
        <v>4</v>
      </c>
      <c r="C9" s="418"/>
      <c r="D9" s="284">
        <v>72</v>
      </c>
      <c r="E9" s="284">
        <v>288</v>
      </c>
      <c r="F9" s="411"/>
      <c r="G9" s="396"/>
      <c r="H9" s="400"/>
      <c r="I9" s="399"/>
      <c r="J9" s="386"/>
      <c r="K9" s="244">
        <v>0.40661000000000003</v>
      </c>
      <c r="L9" s="245">
        <v>24</v>
      </c>
      <c r="M9" s="245">
        <f>+L9*$C$7</f>
        <v>96</v>
      </c>
      <c r="N9" s="246">
        <f>I7*(1-J7)*(1-K9)</f>
        <v>3.2339755000000001</v>
      </c>
      <c r="O9" s="247">
        <f>N9/3</f>
        <v>1.0779918333333334</v>
      </c>
      <c r="P9" s="248">
        <v>5.55</v>
      </c>
      <c r="Q9" s="249">
        <f>(P9/1.22-N9)/N9</f>
        <v>0.40668360903440753</v>
      </c>
      <c r="R9" s="231"/>
    </row>
    <row r="10" spans="1:20" x14ac:dyDescent="0.35">
      <c r="A10" s="229"/>
      <c r="B10" s="187"/>
      <c r="C10" s="187"/>
      <c r="D10" s="187"/>
      <c r="E10" s="187"/>
      <c r="F10" s="210"/>
      <c r="G10" s="210"/>
      <c r="H10" s="210"/>
      <c r="I10" s="211"/>
      <c r="J10" s="212"/>
      <c r="K10" s="230"/>
      <c r="L10" s="212"/>
      <c r="M10" s="212"/>
      <c r="N10" s="214"/>
      <c r="O10" s="214"/>
      <c r="P10" s="215"/>
      <c r="Q10" s="216"/>
      <c r="R10" s="231"/>
    </row>
    <row r="11" spans="1:20" ht="42" x14ac:dyDescent="0.35">
      <c r="A11" s="250" t="s">
        <v>105</v>
      </c>
      <c r="B11" s="251">
        <v>3</v>
      </c>
      <c r="C11" s="251">
        <v>4</v>
      </c>
      <c r="D11" s="251">
        <v>56</v>
      </c>
      <c r="E11" s="251">
        <v>168</v>
      </c>
      <c r="F11" s="219" t="s">
        <v>106</v>
      </c>
      <c r="G11" s="220">
        <v>0.22</v>
      </c>
      <c r="H11" s="219">
        <v>988124463</v>
      </c>
      <c r="I11" s="221">
        <v>10.9</v>
      </c>
      <c r="J11" s="252">
        <v>0.5</v>
      </c>
      <c r="K11" s="222">
        <v>0.46</v>
      </c>
      <c r="L11" s="223">
        <v>1</v>
      </c>
      <c r="M11" s="223">
        <f>+L11*$C$11</f>
        <v>4</v>
      </c>
      <c r="N11" s="224">
        <f>I11*(1-J11)*(1-K11)</f>
        <v>2.9430000000000005</v>
      </c>
      <c r="O11" s="225">
        <f>N11/5</f>
        <v>0.58860000000000012</v>
      </c>
      <c r="P11" s="226">
        <v>4.99</v>
      </c>
      <c r="Q11" s="227">
        <f>(P11/1.22-N11)/N11</f>
        <v>0.38979406538437972</v>
      </c>
      <c r="R11" s="228" t="s">
        <v>102</v>
      </c>
    </row>
    <row r="12" spans="1:20" x14ac:dyDescent="0.35">
      <c r="A12" s="229"/>
      <c r="B12" s="187"/>
      <c r="C12" s="187"/>
      <c r="D12" s="187"/>
      <c r="E12" s="187"/>
      <c r="F12" s="210"/>
      <c r="G12" s="210"/>
      <c r="H12" s="210"/>
      <c r="I12" s="211"/>
      <c r="J12" s="212"/>
      <c r="K12" s="230"/>
      <c r="L12" s="212"/>
      <c r="M12" s="212"/>
      <c r="N12" s="214"/>
      <c r="O12" s="214"/>
      <c r="P12" s="215"/>
      <c r="Q12" s="216"/>
      <c r="R12" s="231"/>
    </row>
    <row r="13" spans="1:20" x14ac:dyDescent="0.35">
      <c r="A13" s="407" t="s">
        <v>107</v>
      </c>
      <c r="B13" s="383">
        <v>16</v>
      </c>
      <c r="C13" s="408">
        <v>4</v>
      </c>
      <c r="D13" s="285">
        <v>80</v>
      </c>
      <c r="E13" s="408">
        <v>1280</v>
      </c>
      <c r="F13" s="410" t="s">
        <v>108</v>
      </c>
      <c r="G13" s="396">
        <v>0.22</v>
      </c>
      <c r="H13" s="400">
        <v>926311515</v>
      </c>
      <c r="I13" s="398">
        <v>3.5</v>
      </c>
      <c r="J13" s="385">
        <v>0.5</v>
      </c>
      <c r="K13" s="232">
        <v>0.29714000000000002</v>
      </c>
      <c r="L13" s="233">
        <v>1</v>
      </c>
      <c r="M13" s="233">
        <f>+L13*$C$13</f>
        <v>4</v>
      </c>
      <c r="N13" s="234">
        <f>I13*(1-J13)*(1-K13)</f>
        <v>1.230005</v>
      </c>
      <c r="O13" s="253"/>
      <c r="P13" s="236">
        <v>2.1</v>
      </c>
      <c r="Q13" s="237">
        <f>(P13/1.22-N13)/N13</f>
        <v>0.39943453515216293</v>
      </c>
      <c r="R13" s="231"/>
    </row>
    <row r="14" spans="1:20" x14ac:dyDescent="0.35">
      <c r="A14" s="407"/>
      <c r="B14" s="383">
        <v>4</v>
      </c>
      <c r="C14" s="409"/>
      <c r="D14" s="285">
        <v>72</v>
      </c>
      <c r="E14" s="409">
        <v>288</v>
      </c>
      <c r="F14" s="411"/>
      <c r="G14" s="396"/>
      <c r="H14" s="400"/>
      <c r="I14" s="399"/>
      <c r="J14" s="386"/>
      <c r="K14" s="244">
        <v>0.33714</v>
      </c>
      <c r="L14" s="245">
        <v>5</v>
      </c>
      <c r="M14" s="245">
        <f>+L14*$C$13</f>
        <v>20</v>
      </c>
      <c r="N14" s="246">
        <f>I13*(1-J13)*(1-K14)</f>
        <v>1.160005</v>
      </c>
      <c r="O14" s="254"/>
      <c r="P14" s="248">
        <v>1.98</v>
      </c>
      <c r="Q14" s="249">
        <f>(P14/1.22-N14)/N14</f>
        <v>0.39908950364190776</v>
      </c>
      <c r="R14" s="231"/>
    </row>
    <row r="15" spans="1:20" x14ac:dyDescent="0.35">
      <c r="A15" s="229"/>
      <c r="B15" s="187"/>
      <c r="C15" s="187"/>
      <c r="D15" s="187"/>
      <c r="E15" s="187"/>
      <c r="F15" s="210"/>
      <c r="G15" s="210"/>
      <c r="H15" s="210"/>
      <c r="I15" s="211"/>
      <c r="J15" s="212"/>
      <c r="K15" s="230"/>
      <c r="L15" s="212"/>
      <c r="M15" s="212"/>
      <c r="N15" s="214"/>
      <c r="O15" s="214"/>
      <c r="P15" s="215"/>
      <c r="Q15" s="216"/>
      <c r="R15" s="231"/>
    </row>
    <row r="16" spans="1:20" x14ac:dyDescent="0.35">
      <c r="A16" s="401" t="s">
        <v>109</v>
      </c>
      <c r="B16" s="402">
        <v>6</v>
      </c>
      <c r="C16" s="403">
        <v>9</v>
      </c>
      <c r="D16" s="403">
        <v>171</v>
      </c>
      <c r="E16" s="403">
        <v>1026</v>
      </c>
      <c r="F16" s="394" t="s">
        <v>110</v>
      </c>
      <c r="G16" s="396">
        <v>0.22</v>
      </c>
      <c r="H16" s="397">
        <v>972596821</v>
      </c>
      <c r="I16" s="398">
        <v>5.9</v>
      </c>
      <c r="J16" s="385">
        <v>0.5</v>
      </c>
      <c r="K16" s="232">
        <v>0.31524999999999997</v>
      </c>
      <c r="L16" s="233">
        <v>1</v>
      </c>
      <c r="M16" s="233">
        <f>+L16*$C$16</f>
        <v>9</v>
      </c>
      <c r="N16" s="234">
        <f>I16*(1-J16)*(1-K16)</f>
        <v>2.0200125</v>
      </c>
      <c r="O16" s="253"/>
      <c r="P16" s="236">
        <v>3.45</v>
      </c>
      <c r="Q16" s="237">
        <f>(P16/1.22-N16)/N16</f>
        <v>0.39992641256379197</v>
      </c>
      <c r="R16" s="231"/>
    </row>
    <row r="17" spans="1:18" x14ac:dyDescent="0.35">
      <c r="A17" s="401"/>
      <c r="B17" s="402">
        <v>4</v>
      </c>
      <c r="C17" s="404"/>
      <c r="D17" s="404">
        <v>72</v>
      </c>
      <c r="E17" s="404">
        <v>288</v>
      </c>
      <c r="F17" s="395"/>
      <c r="G17" s="396"/>
      <c r="H17" s="397"/>
      <c r="I17" s="399"/>
      <c r="J17" s="386"/>
      <c r="K17" s="244">
        <v>0.36609999999999998</v>
      </c>
      <c r="L17" s="245">
        <v>5</v>
      </c>
      <c r="M17" s="245">
        <f>+L17*$C$16</f>
        <v>45</v>
      </c>
      <c r="N17" s="246">
        <f>I16*(1-J16)*(1-K17)</f>
        <v>1.8700050000000001</v>
      </c>
      <c r="O17" s="254"/>
      <c r="P17" s="248">
        <v>3.19</v>
      </c>
      <c r="Q17" s="249">
        <f>(P17/1.22-N17)/N17</f>
        <v>0.39826048505787709</v>
      </c>
      <c r="R17" s="231"/>
    </row>
    <row r="18" spans="1:18" x14ac:dyDescent="0.35">
      <c r="A18" s="214"/>
      <c r="B18" s="255"/>
      <c r="C18" s="255"/>
      <c r="D18" s="255"/>
      <c r="E18" s="255"/>
      <c r="F18" s="214"/>
      <c r="G18" s="214"/>
      <c r="H18" s="214"/>
      <c r="I18" s="256"/>
      <c r="J18" s="257"/>
      <c r="K18" s="258"/>
      <c r="L18" s="259"/>
      <c r="M18" s="259"/>
      <c r="N18" s="260"/>
      <c r="O18" s="261"/>
      <c r="P18" s="262"/>
      <c r="Q18" s="212"/>
      <c r="R18" s="200"/>
    </row>
    <row r="19" spans="1:18" ht="42" x14ac:dyDescent="0.35">
      <c r="A19" s="263" t="s">
        <v>111</v>
      </c>
      <c r="B19" s="387" t="s">
        <v>112</v>
      </c>
      <c r="C19" s="387"/>
      <c r="D19" s="387"/>
      <c r="E19" s="387"/>
      <c r="F19" s="203" t="s">
        <v>0</v>
      </c>
      <c r="G19" s="203" t="s">
        <v>94</v>
      </c>
      <c r="H19" s="203" t="s">
        <v>51</v>
      </c>
      <c r="I19" s="204" t="s">
        <v>6</v>
      </c>
      <c r="J19" s="264" t="s">
        <v>7</v>
      </c>
      <c r="K19" s="265" t="s">
        <v>53</v>
      </c>
      <c r="L19" s="388" t="s">
        <v>113</v>
      </c>
      <c r="M19" s="388"/>
      <c r="N19" s="207" t="s">
        <v>55</v>
      </c>
      <c r="O19" s="266" t="s">
        <v>114</v>
      </c>
      <c r="P19" s="208" t="s">
        <v>97</v>
      </c>
      <c r="Q19" s="257"/>
      <c r="R19" s="200"/>
    </row>
    <row r="20" spans="1:18" ht="42" x14ac:dyDescent="0.35">
      <c r="A20" s="267" t="s">
        <v>115</v>
      </c>
      <c r="B20" s="389">
        <v>96</v>
      </c>
      <c r="C20" s="389"/>
      <c r="D20" s="389"/>
      <c r="E20" s="389"/>
      <c r="F20" s="268" t="s">
        <v>101</v>
      </c>
      <c r="G20" s="269">
        <v>0.22</v>
      </c>
      <c r="H20" s="268">
        <v>988130629</v>
      </c>
      <c r="I20" s="270">
        <f>$C$20*I5</f>
        <v>0</v>
      </c>
      <c r="J20" s="271">
        <v>0.5</v>
      </c>
      <c r="K20" s="272">
        <v>0.39</v>
      </c>
      <c r="L20" s="390">
        <v>1</v>
      </c>
      <c r="M20" s="390"/>
      <c r="N20" s="273">
        <f>+I20*(1-J20)*(1-K20)</f>
        <v>0</v>
      </c>
      <c r="O20" s="391" t="s">
        <v>116</v>
      </c>
      <c r="P20" s="224">
        <f t="shared" ref="P20:P25" si="0">N20/B20</f>
        <v>0</v>
      </c>
      <c r="Q20" s="274"/>
      <c r="R20" s="228" t="s">
        <v>102</v>
      </c>
    </row>
    <row r="21" spans="1:18" ht="42" x14ac:dyDescent="0.35">
      <c r="A21" s="275" t="s">
        <v>117</v>
      </c>
      <c r="B21" s="393">
        <v>30</v>
      </c>
      <c r="C21" s="393"/>
      <c r="D21" s="393"/>
      <c r="E21" s="393"/>
      <c r="F21" s="219" t="s">
        <v>104</v>
      </c>
      <c r="G21" s="220">
        <v>0.22</v>
      </c>
      <c r="H21" s="219">
        <v>988130643</v>
      </c>
      <c r="I21" s="221">
        <f>$C$21*I7</f>
        <v>0</v>
      </c>
      <c r="J21" s="252">
        <v>0.5</v>
      </c>
      <c r="K21" s="276">
        <v>0.34211000000000003</v>
      </c>
      <c r="L21" s="382">
        <v>1</v>
      </c>
      <c r="M21" s="382"/>
      <c r="N21" s="277">
        <f>+I21*(1-J21)*(1-K21)</f>
        <v>0</v>
      </c>
      <c r="O21" s="391"/>
      <c r="P21" s="225">
        <f t="shared" si="0"/>
        <v>0</v>
      </c>
      <c r="Q21" s="274"/>
      <c r="R21" s="278"/>
    </row>
    <row r="22" spans="1:18" ht="42" x14ac:dyDescent="0.35">
      <c r="A22" s="279" t="s">
        <v>118</v>
      </c>
      <c r="B22" s="381">
        <v>72</v>
      </c>
      <c r="C22" s="381"/>
      <c r="D22" s="381"/>
      <c r="E22" s="381"/>
      <c r="F22" s="219" t="s">
        <v>106</v>
      </c>
      <c r="G22" s="220">
        <v>0.22</v>
      </c>
      <c r="H22" s="219">
        <v>988130593</v>
      </c>
      <c r="I22" s="221">
        <f>$C$22*I11</f>
        <v>0</v>
      </c>
      <c r="J22" s="252">
        <v>0.5</v>
      </c>
      <c r="K22" s="280">
        <v>0.46</v>
      </c>
      <c r="L22" s="382">
        <v>1</v>
      </c>
      <c r="M22" s="382"/>
      <c r="N22" s="224">
        <f>+I22*(1-J22)*(1-K22)</f>
        <v>0</v>
      </c>
      <c r="O22" s="391"/>
      <c r="P22" s="224">
        <f t="shared" si="0"/>
        <v>0</v>
      </c>
      <c r="Q22" s="274"/>
      <c r="R22" s="228" t="s">
        <v>102</v>
      </c>
    </row>
    <row r="23" spans="1:18" ht="42" x14ac:dyDescent="0.35">
      <c r="A23" s="279" t="s">
        <v>119</v>
      </c>
      <c r="B23" s="381">
        <v>144</v>
      </c>
      <c r="C23" s="381"/>
      <c r="D23" s="381"/>
      <c r="E23" s="381"/>
      <c r="F23" s="219" t="s">
        <v>106</v>
      </c>
      <c r="G23" s="220">
        <v>0.22</v>
      </c>
      <c r="H23" s="219">
        <v>988130656</v>
      </c>
      <c r="I23" s="221">
        <f>$C$23*I11</f>
        <v>0</v>
      </c>
      <c r="J23" s="252">
        <v>0.5</v>
      </c>
      <c r="K23" s="280">
        <v>0.46</v>
      </c>
      <c r="L23" s="382">
        <v>1</v>
      </c>
      <c r="M23" s="382"/>
      <c r="N23" s="224">
        <f>+I23*(1-J23)*(1-K23)</f>
        <v>0</v>
      </c>
      <c r="O23" s="391"/>
      <c r="P23" s="224">
        <f t="shared" si="0"/>
        <v>0</v>
      </c>
      <c r="Q23" s="274"/>
      <c r="R23" s="228" t="s">
        <v>102</v>
      </c>
    </row>
    <row r="24" spans="1:18" ht="42" x14ac:dyDescent="0.35">
      <c r="A24" s="281" t="s">
        <v>120</v>
      </c>
      <c r="B24" s="383">
        <v>99</v>
      </c>
      <c r="C24" s="383"/>
      <c r="D24" s="383"/>
      <c r="E24" s="383"/>
      <c r="F24" s="219" t="s">
        <v>108</v>
      </c>
      <c r="G24" s="220">
        <v>0.22</v>
      </c>
      <c r="H24" s="282">
        <v>988148680</v>
      </c>
      <c r="I24" s="221">
        <f>$C$24*I13</f>
        <v>0</v>
      </c>
      <c r="J24" s="252">
        <v>0.5</v>
      </c>
      <c r="K24" s="276">
        <v>0.33714</v>
      </c>
      <c r="L24" s="382">
        <v>1</v>
      </c>
      <c r="M24" s="382"/>
      <c r="N24" s="277">
        <f t="shared" ref="N24" si="1">+I24*(1-J24)*(1-K24)</f>
        <v>0</v>
      </c>
      <c r="O24" s="391"/>
      <c r="P24" s="225">
        <f t="shared" si="0"/>
        <v>0</v>
      </c>
      <c r="Q24" s="274"/>
      <c r="R24" s="278"/>
    </row>
    <row r="25" spans="1:18" ht="42" x14ac:dyDescent="0.35">
      <c r="A25" s="283" t="s">
        <v>121</v>
      </c>
      <c r="B25" s="384">
        <v>60</v>
      </c>
      <c r="C25" s="384"/>
      <c r="D25" s="384"/>
      <c r="E25" s="384"/>
      <c r="F25" s="219" t="s">
        <v>110</v>
      </c>
      <c r="G25" s="220">
        <v>0.22</v>
      </c>
      <c r="H25" s="219">
        <v>988148692</v>
      </c>
      <c r="I25" s="221">
        <f>$C$25*I16</f>
        <v>0</v>
      </c>
      <c r="J25" s="252">
        <v>0.5</v>
      </c>
      <c r="K25" s="276">
        <v>0.36609999999999998</v>
      </c>
      <c r="L25" s="382">
        <v>1</v>
      </c>
      <c r="M25" s="382"/>
      <c r="N25" s="277">
        <f>+I25*(1-J25)*(1-K25)</f>
        <v>0</v>
      </c>
      <c r="O25" s="392"/>
      <c r="P25" s="225">
        <f t="shared" si="0"/>
        <v>0</v>
      </c>
      <c r="Q25" s="274"/>
      <c r="R25" s="278"/>
    </row>
  </sheetData>
  <mergeCells count="43">
    <mergeCell ref="A2:S2"/>
    <mergeCell ref="A7:A9"/>
    <mergeCell ref="B7:B9"/>
    <mergeCell ref="C7:C9"/>
    <mergeCell ref="F7:F9"/>
    <mergeCell ref="G7:G9"/>
    <mergeCell ref="H7:H9"/>
    <mergeCell ref="I7:I9"/>
    <mergeCell ref="J7:J9"/>
    <mergeCell ref="A13:A14"/>
    <mergeCell ref="B13:B14"/>
    <mergeCell ref="C13:C14"/>
    <mergeCell ref="E13:E14"/>
    <mergeCell ref="F13:F14"/>
    <mergeCell ref="G13:G14"/>
    <mergeCell ref="H13:H14"/>
    <mergeCell ref="I13:I14"/>
    <mergeCell ref="J13:J14"/>
    <mergeCell ref="A16:A17"/>
    <mergeCell ref="B16:B17"/>
    <mergeCell ref="C16:C17"/>
    <mergeCell ref="D16:D17"/>
    <mergeCell ref="E16:E17"/>
    <mergeCell ref="O20:O25"/>
    <mergeCell ref="B21:E21"/>
    <mergeCell ref="L21:M21"/>
    <mergeCell ref="B22:E22"/>
    <mergeCell ref="L22:M22"/>
    <mergeCell ref="J16:J17"/>
    <mergeCell ref="B19:E19"/>
    <mergeCell ref="L19:M19"/>
    <mergeCell ref="B20:E20"/>
    <mergeCell ref="L20:M20"/>
    <mergeCell ref="F16:F17"/>
    <mergeCell ref="G16:G17"/>
    <mergeCell ref="H16:H17"/>
    <mergeCell ref="I16:I17"/>
    <mergeCell ref="B23:E23"/>
    <mergeCell ref="L23:M23"/>
    <mergeCell ref="B24:E24"/>
    <mergeCell ref="L24:M24"/>
    <mergeCell ref="B25:E25"/>
    <mergeCell ref="L25:M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C77C-713E-4AE1-AE2E-2634A111DEB8}">
  <dimension ref="A2:P24"/>
  <sheetViews>
    <sheetView zoomScale="80" zoomScaleNormal="80" workbookViewId="0">
      <selection activeCell="H28" sqref="H28"/>
    </sheetView>
  </sheetViews>
  <sheetFormatPr defaultRowHeight="14.5" x14ac:dyDescent="0.35"/>
  <cols>
    <col min="1" max="1" width="33.08984375" customWidth="1"/>
    <col min="4" max="4" width="11.7265625" customWidth="1"/>
    <col min="6" max="10" width="14.81640625" customWidth="1"/>
    <col min="13" max="13" width="14.453125" customWidth="1"/>
  </cols>
  <sheetData>
    <row r="2" spans="1:16" ht="15.5" x14ac:dyDescent="0.35">
      <c r="A2" s="420" t="s">
        <v>122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2"/>
      <c r="O2" s="286"/>
      <c r="P2" s="287"/>
    </row>
    <row r="3" spans="1:16" ht="62.5" x14ac:dyDescent="0.35">
      <c r="A3" s="35" t="s">
        <v>123</v>
      </c>
      <c r="B3" s="61" t="s">
        <v>124</v>
      </c>
      <c r="C3" s="288" t="s">
        <v>94</v>
      </c>
      <c r="D3" s="60" t="s">
        <v>51</v>
      </c>
      <c r="E3" s="60" t="s">
        <v>125</v>
      </c>
      <c r="F3" s="289" t="s">
        <v>6</v>
      </c>
      <c r="G3" s="290" t="s">
        <v>7</v>
      </c>
      <c r="H3" s="291" t="s">
        <v>53</v>
      </c>
      <c r="I3" s="289" t="s">
        <v>10</v>
      </c>
      <c r="J3" s="292" t="s">
        <v>11</v>
      </c>
      <c r="K3" s="293" t="s">
        <v>128</v>
      </c>
      <c r="L3" s="35" t="s">
        <v>129</v>
      </c>
      <c r="M3" s="289" t="s">
        <v>130</v>
      </c>
      <c r="N3" s="292" t="s">
        <v>98</v>
      </c>
      <c r="O3" s="291" t="s">
        <v>99</v>
      </c>
      <c r="P3" s="294"/>
    </row>
    <row r="4" spans="1:16" x14ac:dyDescent="0.35">
      <c r="A4" s="99"/>
      <c r="B4" s="51"/>
      <c r="C4" s="51"/>
      <c r="D4" s="51"/>
      <c r="E4" s="51"/>
      <c r="F4" s="99"/>
      <c r="G4" s="110"/>
      <c r="H4" s="110"/>
      <c r="I4" s="99"/>
      <c r="J4" s="295"/>
      <c r="K4" s="295"/>
      <c r="L4" s="99"/>
      <c r="M4" s="99"/>
      <c r="N4" s="99"/>
      <c r="O4" s="110"/>
      <c r="P4" s="294"/>
    </row>
    <row r="5" spans="1:16" x14ac:dyDescent="0.35">
      <c r="A5" s="296" t="s">
        <v>131</v>
      </c>
      <c r="B5" s="297"/>
      <c r="C5" s="297"/>
      <c r="D5" s="297"/>
      <c r="E5" s="297"/>
      <c r="F5" s="99"/>
      <c r="G5" s="297"/>
      <c r="H5" s="297"/>
      <c r="I5" s="99"/>
      <c r="J5" s="295"/>
      <c r="K5" s="99"/>
      <c r="L5" s="99"/>
      <c r="M5" s="99"/>
      <c r="N5" s="99"/>
      <c r="O5" s="297"/>
      <c r="P5" s="294"/>
    </row>
    <row r="6" spans="1:16" x14ac:dyDescent="0.35">
      <c r="A6" s="298" t="s">
        <v>132</v>
      </c>
      <c r="B6" s="299" t="s">
        <v>133</v>
      </c>
      <c r="C6" s="300">
        <v>0.1</v>
      </c>
      <c r="D6" s="299">
        <v>980483109</v>
      </c>
      <c r="E6" s="299">
        <v>4</v>
      </c>
      <c r="F6" s="301">
        <v>22.45</v>
      </c>
      <c r="G6" s="302">
        <v>0.24</v>
      </c>
      <c r="H6" s="302">
        <v>0.17499999999999999</v>
      </c>
      <c r="I6" s="301">
        <f>F6*(1-G6)*(1-H6)</f>
        <v>14.07615</v>
      </c>
      <c r="J6" s="303">
        <v>17.8</v>
      </c>
      <c r="K6" s="302">
        <v>0.05</v>
      </c>
      <c r="L6" s="423" t="s">
        <v>134</v>
      </c>
      <c r="M6" s="301">
        <f>I6*(1-K6)</f>
        <v>13.3723425</v>
      </c>
      <c r="N6" s="304">
        <v>16.899999999999999</v>
      </c>
      <c r="O6" s="300">
        <f>(N6/(1+C6)-M6)/M6</f>
        <v>0.14891137163412926</v>
      </c>
      <c r="P6" s="305"/>
    </row>
    <row r="7" spans="1:16" x14ac:dyDescent="0.35">
      <c r="A7" s="306" t="s">
        <v>135</v>
      </c>
      <c r="B7" s="299" t="s">
        <v>133</v>
      </c>
      <c r="C7" s="300">
        <v>0.1</v>
      </c>
      <c r="D7" s="299">
        <v>980483111</v>
      </c>
      <c r="E7" s="299">
        <v>4</v>
      </c>
      <c r="F7" s="307">
        <v>18.350000000000001</v>
      </c>
      <c r="G7" s="302">
        <v>0.24</v>
      </c>
      <c r="H7" s="302">
        <v>7.4999999999999997E-2</v>
      </c>
      <c r="I7" s="307">
        <f>F7*(1-G7)*(1-H7)</f>
        <v>12.900050000000002</v>
      </c>
      <c r="J7" s="303">
        <v>16.3</v>
      </c>
      <c r="K7" s="302">
        <v>0.05</v>
      </c>
      <c r="L7" s="424"/>
      <c r="M7" s="307">
        <f>I7*(1-K7)</f>
        <v>12.255047500000002</v>
      </c>
      <c r="N7" s="304">
        <f>M7*(1+C7)*1.15</f>
        <v>15.502635087500002</v>
      </c>
      <c r="O7" s="300">
        <f>(N7/(1+C7)-M7)/M7</f>
        <v>0.14999999999999986</v>
      </c>
      <c r="P7" s="305"/>
    </row>
    <row r="8" spans="1:16" x14ac:dyDescent="0.35">
      <c r="A8" s="306" t="s">
        <v>136</v>
      </c>
      <c r="B8" s="299" t="s">
        <v>137</v>
      </c>
      <c r="C8" s="300">
        <v>0.1</v>
      </c>
      <c r="D8" s="299">
        <v>980483123</v>
      </c>
      <c r="E8" s="299">
        <v>5</v>
      </c>
      <c r="F8" s="307">
        <v>13.8</v>
      </c>
      <c r="G8" s="302">
        <v>0.24</v>
      </c>
      <c r="H8" s="302">
        <v>7.4999999999999997E-2</v>
      </c>
      <c r="I8" s="307">
        <f>F8*(1-G8)*(1-H8)</f>
        <v>9.7014000000000014</v>
      </c>
      <c r="J8" s="303">
        <v>12.28</v>
      </c>
      <c r="K8" s="302">
        <v>0.1</v>
      </c>
      <c r="L8" s="425"/>
      <c r="M8" s="307">
        <f>I8*(1-K8)</f>
        <v>8.7312600000000007</v>
      </c>
      <c r="N8" s="304">
        <f>M8*(1+C8)*1.15</f>
        <v>11.045043900000001</v>
      </c>
      <c r="O8" s="300">
        <f>(N8/(1+C8)-M8)/M8</f>
        <v>0.15000000000000005</v>
      </c>
      <c r="P8" s="305"/>
    </row>
    <row r="9" spans="1:16" x14ac:dyDescent="0.35">
      <c r="A9" s="296" t="s">
        <v>138</v>
      </c>
      <c r="B9" s="308"/>
      <c r="C9" s="308"/>
      <c r="D9" s="308"/>
      <c r="E9" s="308"/>
      <c r="F9" s="309"/>
      <c r="G9" s="310"/>
      <c r="H9" s="310"/>
      <c r="I9" s="309"/>
      <c r="J9" s="309"/>
      <c r="K9" s="310"/>
      <c r="L9" s="311"/>
      <c r="M9" s="309"/>
      <c r="N9" s="312"/>
      <c r="O9" s="310"/>
      <c r="P9" s="305"/>
    </row>
    <row r="10" spans="1:16" x14ac:dyDescent="0.35">
      <c r="A10" s="306" t="s">
        <v>132</v>
      </c>
      <c r="B10" s="299" t="s">
        <v>139</v>
      </c>
      <c r="C10" s="300">
        <v>0.1</v>
      </c>
      <c r="D10" s="299">
        <v>986890960</v>
      </c>
      <c r="E10" s="299">
        <v>12</v>
      </c>
      <c r="F10" s="307">
        <v>4.38</v>
      </c>
      <c r="G10" s="302">
        <v>0.24</v>
      </c>
      <c r="H10" s="302">
        <v>0.19</v>
      </c>
      <c r="I10" s="307">
        <f>F10*(1-G10)*(1-H10)</f>
        <v>2.6963279999999998</v>
      </c>
      <c r="J10" s="303">
        <v>3.4</v>
      </c>
      <c r="K10" s="302">
        <v>0</v>
      </c>
      <c r="L10" s="313">
        <v>0</v>
      </c>
      <c r="M10" s="307">
        <f>I10*(1-K10)</f>
        <v>2.6963279999999998</v>
      </c>
      <c r="N10" s="304">
        <v>3.4</v>
      </c>
      <c r="O10" s="300">
        <f>(N10/(1+C10)-M10)/M10</f>
        <v>0.14634016740882066</v>
      </c>
      <c r="P10" s="305"/>
    </row>
    <row r="11" spans="1:16" x14ac:dyDescent="0.35">
      <c r="A11" s="306" t="s">
        <v>135</v>
      </c>
      <c r="B11" s="299" t="s">
        <v>139</v>
      </c>
      <c r="C11" s="300">
        <v>0.1</v>
      </c>
      <c r="D11" s="299">
        <v>980512976</v>
      </c>
      <c r="E11" s="299">
        <v>6</v>
      </c>
      <c r="F11" s="307">
        <v>3.25</v>
      </c>
      <c r="G11" s="302">
        <v>0.24</v>
      </c>
      <c r="H11" s="302">
        <v>0</v>
      </c>
      <c r="I11" s="307">
        <f>F11*(1-G11)*(1-H11)</f>
        <v>2.4700000000000002</v>
      </c>
      <c r="J11" s="303">
        <v>3.1</v>
      </c>
      <c r="K11" s="302">
        <v>0.1</v>
      </c>
      <c r="L11" s="314" t="s">
        <v>134</v>
      </c>
      <c r="M11" s="307">
        <f>I11*(1-K11)</f>
        <v>2.2230000000000003</v>
      </c>
      <c r="N11" s="304">
        <v>2.8</v>
      </c>
      <c r="O11" s="300">
        <f>(N11/(1+C11)-M11)/M11</f>
        <v>0.14505377663272362</v>
      </c>
      <c r="P11" s="305"/>
    </row>
    <row r="12" spans="1:16" x14ac:dyDescent="0.35">
      <c r="A12" s="306" t="s">
        <v>136</v>
      </c>
      <c r="B12" s="299" t="s">
        <v>139</v>
      </c>
      <c r="C12" s="300">
        <v>0.1</v>
      </c>
      <c r="D12" s="299">
        <v>980512990</v>
      </c>
      <c r="E12" s="299">
        <v>6</v>
      </c>
      <c r="F12" s="307">
        <v>2.4</v>
      </c>
      <c r="G12" s="302">
        <v>0.24</v>
      </c>
      <c r="H12" s="302">
        <v>0.1</v>
      </c>
      <c r="I12" s="307">
        <f>F12*(1-G12)*(1-H12)</f>
        <v>1.6415999999999999</v>
      </c>
      <c r="J12" s="303">
        <f>I12*(1+C12)*1.15</f>
        <v>2.0766239999999998</v>
      </c>
      <c r="K12" s="302">
        <v>0.125</v>
      </c>
      <c r="L12" s="314" t="s">
        <v>134</v>
      </c>
      <c r="M12" s="307">
        <f>I12*(1-K12)</f>
        <v>1.4363999999999999</v>
      </c>
      <c r="N12" s="304">
        <v>1.8</v>
      </c>
      <c r="O12" s="300">
        <f>(N12/(1+C12)-M12)/M12</f>
        <v>0.13921166552745501</v>
      </c>
      <c r="P12" s="305"/>
    </row>
    <row r="13" spans="1:16" x14ac:dyDescent="0.35">
      <c r="A13" s="315" t="s">
        <v>140</v>
      </c>
      <c r="B13" s="316"/>
      <c r="C13" s="316"/>
      <c r="D13" s="316"/>
      <c r="E13" s="316"/>
      <c r="F13" s="309"/>
      <c r="G13" s="191"/>
      <c r="H13" s="191"/>
      <c r="I13" s="309"/>
      <c r="J13" s="309"/>
      <c r="K13" s="191"/>
      <c r="L13" s="191"/>
      <c r="M13" s="309"/>
      <c r="N13" s="317"/>
      <c r="O13" s="191"/>
      <c r="P13" s="305"/>
    </row>
    <row r="14" spans="1:16" x14ac:dyDescent="0.35">
      <c r="A14" s="306" t="s">
        <v>132</v>
      </c>
      <c r="B14" s="318" t="s">
        <v>133</v>
      </c>
      <c r="C14" s="300">
        <v>0.1</v>
      </c>
      <c r="D14" s="318">
        <v>983365937</v>
      </c>
      <c r="E14" s="299">
        <v>4</v>
      </c>
      <c r="F14" s="307">
        <v>24.25</v>
      </c>
      <c r="G14" s="302">
        <v>0.24</v>
      </c>
      <c r="H14" s="302">
        <v>0.06</v>
      </c>
      <c r="I14" s="307">
        <f>F14*(1-G14)*(1-H14)</f>
        <v>17.324199999999998</v>
      </c>
      <c r="J14" s="303">
        <v>21.9</v>
      </c>
      <c r="K14" s="302">
        <v>0</v>
      </c>
      <c r="L14" s="313">
        <v>0</v>
      </c>
      <c r="M14" s="307">
        <f>I14*(1-K14)</f>
        <v>17.324199999999998</v>
      </c>
      <c r="N14" s="304">
        <v>21.9</v>
      </c>
      <c r="O14" s="300">
        <f>(N14/(1+C14)-M14)/M14</f>
        <v>0.14920694225943532</v>
      </c>
      <c r="P14" s="305"/>
    </row>
    <row r="15" spans="1:16" x14ac:dyDescent="0.35">
      <c r="A15" s="306" t="s">
        <v>135</v>
      </c>
      <c r="B15" s="318" t="s">
        <v>133</v>
      </c>
      <c r="C15" s="300">
        <v>0.1</v>
      </c>
      <c r="D15" s="318">
        <v>983365949</v>
      </c>
      <c r="E15" s="299">
        <v>4</v>
      </c>
      <c r="F15" s="307">
        <v>19.079999999999998</v>
      </c>
      <c r="G15" s="302">
        <v>0.24</v>
      </c>
      <c r="H15" s="302">
        <v>0.06</v>
      </c>
      <c r="I15" s="307">
        <f>F15*(1-G15)*(1-H15)</f>
        <v>13.630751999999998</v>
      </c>
      <c r="J15" s="303">
        <v>17.25</v>
      </c>
      <c r="K15" s="320">
        <v>0.14499999999999999</v>
      </c>
      <c r="L15" s="320" t="s">
        <v>141</v>
      </c>
      <c r="M15" s="321">
        <f>I15*(1-K15)</f>
        <v>11.654292959999998</v>
      </c>
      <c r="N15" s="304">
        <v>14.75</v>
      </c>
      <c r="O15" s="300">
        <f>(N15/(1+C15)-M15)/M15</f>
        <v>0.15057094884380795</v>
      </c>
      <c r="P15" s="322" t="s">
        <v>102</v>
      </c>
    </row>
    <row r="16" spans="1:16" x14ac:dyDescent="0.35">
      <c r="A16" s="306" t="s">
        <v>136</v>
      </c>
      <c r="B16" s="318" t="s">
        <v>133</v>
      </c>
      <c r="C16" s="300">
        <v>0.1</v>
      </c>
      <c r="D16" s="318">
        <v>987683517</v>
      </c>
      <c r="E16" s="299">
        <v>4</v>
      </c>
      <c r="F16" s="307">
        <v>14.58</v>
      </c>
      <c r="G16" s="302">
        <v>0.24</v>
      </c>
      <c r="H16" s="302">
        <v>0.06</v>
      </c>
      <c r="I16" s="307">
        <f>F16*(1-G16)*(1-H16)</f>
        <v>10.415951999999999</v>
      </c>
      <c r="J16" s="303">
        <f>I16*(1+C16)*1.15</f>
        <v>13.176179279999999</v>
      </c>
      <c r="K16" s="302">
        <v>0</v>
      </c>
      <c r="L16" s="313">
        <v>0</v>
      </c>
      <c r="M16" s="307">
        <f>I16*(1-K16)</f>
        <v>10.415951999999999</v>
      </c>
      <c r="N16" s="304">
        <f>M16*(1+C16)*1.15</f>
        <v>13.176179279999999</v>
      </c>
      <c r="O16" s="300">
        <f>(N16/(1+C16)-M16)/M16</f>
        <v>0.14999999999999997</v>
      </c>
      <c r="P16" s="305"/>
    </row>
    <row r="17" spans="1:16" x14ac:dyDescent="0.35">
      <c r="A17" s="315" t="s">
        <v>142</v>
      </c>
      <c r="B17" s="323"/>
      <c r="C17" s="323"/>
      <c r="D17" s="323"/>
      <c r="E17" s="323"/>
      <c r="F17" s="309"/>
      <c r="G17" s="310"/>
      <c r="H17" s="310"/>
      <c r="I17" s="309"/>
      <c r="J17" s="324"/>
      <c r="K17" s="326"/>
      <c r="L17" s="327"/>
      <c r="M17" s="319"/>
      <c r="N17" s="325"/>
      <c r="O17" s="310"/>
      <c r="P17" s="305"/>
    </row>
    <row r="18" spans="1:16" x14ac:dyDescent="0.35">
      <c r="A18" s="306" t="s">
        <v>143</v>
      </c>
      <c r="B18" s="299" t="s">
        <v>133</v>
      </c>
      <c r="C18" s="300">
        <v>0.1</v>
      </c>
      <c r="D18" s="299">
        <v>983275114</v>
      </c>
      <c r="E18" s="299">
        <v>4</v>
      </c>
      <c r="F18" s="307">
        <v>36.049999999999997</v>
      </c>
      <c r="G18" s="302">
        <v>0.24</v>
      </c>
      <c r="H18" s="302">
        <v>0</v>
      </c>
      <c r="I18" s="307">
        <f>F18*(1-G18)*(1-H18)</f>
        <v>27.398</v>
      </c>
      <c r="J18" s="303">
        <v>34.65</v>
      </c>
      <c r="K18" s="302">
        <v>0</v>
      </c>
      <c r="L18" s="313">
        <v>0</v>
      </c>
      <c r="M18" s="307">
        <f>I18*(1-K18)</f>
        <v>27.398</v>
      </c>
      <c r="N18" s="304">
        <v>34.65</v>
      </c>
      <c r="O18" s="300">
        <f>(N18/(1+C18)-M18)/M18</f>
        <v>0.14971895758814499</v>
      </c>
      <c r="P18" s="305"/>
    </row>
    <row r="19" spans="1:16" x14ac:dyDescent="0.35">
      <c r="A19" s="306" t="s">
        <v>144</v>
      </c>
      <c r="B19" s="299" t="s">
        <v>133</v>
      </c>
      <c r="C19" s="300">
        <v>0.1</v>
      </c>
      <c r="D19" s="299">
        <v>983274869</v>
      </c>
      <c r="E19" s="299">
        <v>4</v>
      </c>
      <c r="F19" s="307">
        <v>34.299999999999997</v>
      </c>
      <c r="G19" s="302">
        <v>0.24</v>
      </c>
      <c r="H19" s="302">
        <v>0</v>
      </c>
      <c r="I19" s="307">
        <f>F19*(1-G19)*(1-H19)</f>
        <v>26.067999999999998</v>
      </c>
      <c r="J19" s="303">
        <f>I19*(1+C19)*1.15</f>
        <v>32.976019999999998</v>
      </c>
      <c r="K19" s="302">
        <v>0</v>
      </c>
      <c r="L19" s="313">
        <v>0</v>
      </c>
      <c r="M19" s="307">
        <f>I19*(1-K19)</f>
        <v>26.067999999999998</v>
      </c>
      <c r="N19" s="304">
        <f>M19*(1+C19)*1.15</f>
        <v>32.976019999999998</v>
      </c>
      <c r="O19" s="300">
        <f>(N19/(1+C19)-M19)/M19</f>
        <v>0.15</v>
      </c>
      <c r="P19" s="305"/>
    </row>
    <row r="20" spans="1:16" x14ac:dyDescent="0.35">
      <c r="A20" s="328" t="s">
        <v>145</v>
      </c>
      <c r="B20" s="299" t="s">
        <v>146</v>
      </c>
      <c r="C20" s="300">
        <v>0.1</v>
      </c>
      <c r="D20" s="299">
        <v>950836179</v>
      </c>
      <c r="E20" s="299">
        <v>12</v>
      </c>
      <c r="F20" s="307">
        <v>5.3</v>
      </c>
      <c r="G20" s="302">
        <v>0.24</v>
      </c>
      <c r="H20" s="302">
        <v>0.06</v>
      </c>
      <c r="I20" s="307">
        <f>F20*(1-G20)*(1-H20)</f>
        <v>3.7863199999999995</v>
      </c>
      <c r="J20" s="304">
        <v>4.8</v>
      </c>
      <c r="K20" s="302">
        <v>0</v>
      </c>
      <c r="L20" s="313">
        <v>0</v>
      </c>
      <c r="M20" s="307">
        <f>I20*(1-K20)</f>
        <v>3.7863199999999995</v>
      </c>
      <c r="N20" s="304">
        <v>4.8</v>
      </c>
      <c r="O20" s="300">
        <f>(N20/(1+C20)-M20)/M20</f>
        <v>0.15247426621003082</v>
      </c>
      <c r="P20" s="305"/>
    </row>
    <row r="21" spans="1:16" x14ac:dyDescent="0.35">
      <c r="A21" s="99"/>
      <c r="B21" s="51"/>
      <c r="C21" s="51"/>
      <c r="D21" s="51"/>
      <c r="E21" s="51"/>
      <c r="F21" s="99"/>
      <c r="G21" s="110"/>
      <c r="H21" s="110"/>
      <c r="I21" s="99"/>
      <c r="J21" s="295"/>
      <c r="K21" s="99"/>
      <c r="L21" s="99"/>
      <c r="M21" s="99"/>
      <c r="N21" s="99"/>
      <c r="O21" s="110"/>
      <c r="P21" s="294"/>
    </row>
    <row r="22" spans="1:16" x14ac:dyDescent="0.35">
      <c r="A22" s="329" t="s">
        <v>46</v>
      </c>
      <c r="B22" s="323"/>
      <c r="C22" s="323"/>
      <c r="D22" s="323"/>
      <c r="E22" s="323"/>
      <c r="F22" s="289" t="s">
        <v>6</v>
      </c>
      <c r="G22" s="323"/>
      <c r="H22" s="323"/>
      <c r="I22" s="289" t="s">
        <v>55</v>
      </c>
      <c r="J22" s="323"/>
      <c r="K22" s="330"/>
      <c r="L22" s="297"/>
      <c r="M22" s="331" t="s">
        <v>147</v>
      </c>
      <c r="N22" s="297"/>
      <c r="O22" s="297"/>
      <c r="P22" s="332"/>
    </row>
    <row r="23" spans="1:16" x14ac:dyDescent="0.35">
      <c r="A23" s="333" t="s">
        <v>148</v>
      </c>
      <c r="B23" s="318" t="s">
        <v>133</v>
      </c>
      <c r="C23" s="300">
        <v>0.1</v>
      </c>
      <c r="D23" s="334">
        <v>983669577</v>
      </c>
      <c r="E23" s="334">
        <v>18</v>
      </c>
      <c r="F23" s="307">
        <f>+F15*18</f>
        <v>343.43999999999994</v>
      </c>
      <c r="G23" s="302">
        <v>0.24</v>
      </c>
      <c r="H23" s="320">
        <v>0.19630000000000014</v>
      </c>
      <c r="I23" s="307">
        <f>F23*(1-G23)*(1-H23)</f>
        <v>209.77727327999995</v>
      </c>
      <c r="J23" s="323"/>
      <c r="K23" s="335"/>
      <c r="L23" s="322" t="s">
        <v>102</v>
      </c>
      <c r="M23" s="426" t="s">
        <v>116</v>
      </c>
      <c r="N23" s="336"/>
      <c r="O23" s="297"/>
      <c r="P23" s="337"/>
    </row>
    <row r="24" spans="1:16" x14ac:dyDescent="0.35">
      <c r="A24" s="333" t="s">
        <v>149</v>
      </c>
      <c r="B24" s="318" t="s">
        <v>133</v>
      </c>
      <c r="C24" s="300">
        <v>0.1</v>
      </c>
      <c r="D24" s="334">
        <v>983669589</v>
      </c>
      <c r="E24" s="334">
        <v>18</v>
      </c>
      <c r="F24" s="307">
        <f>+F16*18</f>
        <v>262.44</v>
      </c>
      <c r="G24" s="302">
        <v>0.24</v>
      </c>
      <c r="H24" s="302">
        <v>0.06</v>
      </c>
      <c r="I24" s="307">
        <f>F24*(1-G24)*(1-H24)</f>
        <v>187.48713599999999</v>
      </c>
      <c r="J24" s="323"/>
      <c r="K24" s="330"/>
      <c r="L24" s="330"/>
      <c r="M24" s="426"/>
      <c r="N24" s="330"/>
      <c r="O24" s="297"/>
      <c r="P24" s="337"/>
    </row>
  </sheetData>
  <mergeCells count="3">
    <mergeCell ref="A2:N2"/>
    <mergeCell ref="L6:L8"/>
    <mergeCell ref="M23:M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F2EE-30F2-4C36-836B-F211ABD73E8D}">
  <dimension ref="A2:R20"/>
  <sheetViews>
    <sheetView workbookViewId="0">
      <selection activeCell="N7" sqref="N7"/>
    </sheetView>
  </sheetViews>
  <sheetFormatPr defaultRowHeight="14.5" x14ac:dyDescent="0.35"/>
  <cols>
    <col min="1" max="1" width="8.7265625" customWidth="1"/>
    <col min="4" max="4" width="10.08984375" customWidth="1"/>
    <col min="14" max="14" width="8.7265625" customWidth="1"/>
  </cols>
  <sheetData>
    <row r="2" spans="1:18" x14ac:dyDescent="0.35">
      <c r="A2" s="440" t="s">
        <v>150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191"/>
    </row>
    <row r="3" spans="1:18" ht="50" x14ac:dyDescent="0.35">
      <c r="A3" s="35" t="s">
        <v>123</v>
      </c>
      <c r="B3" s="60" t="s">
        <v>124</v>
      </c>
      <c r="C3" s="60" t="s">
        <v>94</v>
      </c>
      <c r="D3" s="60" t="s">
        <v>51</v>
      </c>
      <c r="E3" s="60" t="s">
        <v>125</v>
      </c>
      <c r="F3" s="60" t="s">
        <v>2</v>
      </c>
      <c r="G3" s="60" t="s">
        <v>3</v>
      </c>
      <c r="H3" s="60" t="s">
        <v>4</v>
      </c>
      <c r="I3" s="60" t="s">
        <v>126</v>
      </c>
      <c r="J3" s="60" t="s">
        <v>127</v>
      </c>
      <c r="K3" s="338" t="s">
        <v>6</v>
      </c>
      <c r="L3" s="291" t="s">
        <v>151</v>
      </c>
      <c r="M3" s="35" t="s">
        <v>152</v>
      </c>
      <c r="N3" s="35" t="s">
        <v>153</v>
      </c>
      <c r="O3" s="289" t="s">
        <v>10</v>
      </c>
      <c r="P3" s="339" t="s">
        <v>11</v>
      </c>
      <c r="Q3" s="39" t="s">
        <v>154</v>
      </c>
      <c r="R3" s="297"/>
    </row>
    <row r="4" spans="1:18" x14ac:dyDescent="0.35">
      <c r="A4" s="98"/>
      <c r="B4" s="297"/>
      <c r="C4" s="297"/>
      <c r="D4" s="297"/>
      <c r="E4" s="297"/>
      <c r="F4" s="297"/>
      <c r="G4" s="297"/>
      <c r="H4" s="297"/>
      <c r="I4" s="297"/>
      <c r="J4" s="297"/>
      <c r="K4" s="340"/>
      <c r="L4" s="310"/>
      <c r="M4" s="310"/>
      <c r="N4" s="317"/>
      <c r="O4" s="297"/>
      <c r="P4" s="317"/>
      <c r="Q4" s="297"/>
      <c r="R4" s="297"/>
    </row>
    <row r="5" spans="1:18" x14ac:dyDescent="0.35">
      <c r="A5" s="438" t="s">
        <v>155</v>
      </c>
      <c r="B5" s="435" t="s">
        <v>156</v>
      </c>
      <c r="C5" s="439">
        <v>0.1</v>
      </c>
      <c r="D5" s="435">
        <v>984866665</v>
      </c>
      <c r="E5" s="430">
        <v>12</v>
      </c>
      <c r="F5" s="430">
        <v>10</v>
      </c>
      <c r="G5" s="430">
        <v>420</v>
      </c>
      <c r="H5" s="430">
        <v>5040</v>
      </c>
      <c r="I5" s="435" t="s">
        <v>157</v>
      </c>
      <c r="J5" s="435" t="s">
        <v>157</v>
      </c>
      <c r="K5" s="436">
        <v>15.65</v>
      </c>
      <c r="L5" s="341">
        <v>0.5</v>
      </c>
      <c r="M5" s="334">
        <v>1</v>
      </c>
      <c r="N5" s="334">
        <f>+M5*E5</f>
        <v>12</v>
      </c>
      <c r="O5" s="342">
        <v>7.8250000000000002</v>
      </c>
      <c r="P5" s="303">
        <f>K5</f>
        <v>15.65</v>
      </c>
      <c r="Q5" s="300">
        <f>(P5/1.1-O5)/O5</f>
        <v>0.81818181818181801</v>
      </c>
      <c r="R5" s="437" t="s">
        <v>158</v>
      </c>
    </row>
    <row r="6" spans="1:18" x14ac:dyDescent="0.35">
      <c r="A6" s="438"/>
      <c r="B6" s="435"/>
      <c r="C6" s="439"/>
      <c r="D6" s="435"/>
      <c r="E6" s="434"/>
      <c r="F6" s="434"/>
      <c r="G6" s="434"/>
      <c r="H6" s="434"/>
      <c r="I6" s="435"/>
      <c r="J6" s="435"/>
      <c r="K6" s="436"/>
      <c r="L6" s="341">
        <v>0.55000000000000004</v>
      </c>
      <c r="M6" s="334">
        <v>2</v>
      </c>
      <c r="N6" s="334">
        <f>+M6*E5</f>
        <v>24</v>
      </c>
      <c r="O6" s="342">
        <v>7.0424999999999995</v>
      </c>
      <c r="P6" s="303">
        <f>K5</f>
        <v>15.65</v>
      </c>
      <c r="Q6" s="300">
        <f>(P6/1.1-O6)/O6</f>
        <v>1.0202020202020203</v>
      </c>
      <c r="R6" s="437"/>
    </row>
    <row r="7" spans="1:18" x14ac:dyDescent="0.35">
      <c r="A7" s="438"/>
      <c r="B7" s="435"/>
      <c r="C7" s="439"/>
      <c r="D7" s="435"/>
      <c r="E7" s="431"/>
      <c r="F7" s="431"/>
      <c r="G7" s="431"/>
      <c r="H7" s="431"/>
      <c r="I7" s="435"/>
      <c r="J7" s="435"/>
      <c r="K7" s="436"/>
      <c r="L7" s="341">
        <v>0.6</v>
      </c>
      <c r="M7" s="334">
        <v>3</v>
      </c>
      <c r="N7" s="334">
        <f>+M7*E5</f>
        <v>36</v>
      </c>
      <c r="O7" s="342">
        <v>6.2600000000000007</v>
      </c>
      <c r="P7" s="303">
        <f>K5</f>
        <v>15.65</v>
      </c>
      <c r="Q7" s="300">
        <f>(P7/1.1-O7)/O7</f>
        <v>1.2727272727272725</v>
      </c>
      <c r="R7" s="437"/>
    </row>
    <row r="9" spans="1:18" x14ac:dyDescent="0.35">
      <c r="A9" s="306" t="s">
        <v>159</v>
      </c>
      <c r="B9" s="299" t="s">
        <v>160</v>
      </c>
      <c r="C9" s="300">
        <v>0.1</v>
      </c>
      <c r="D9" s="299">
        <v>984871588</v>
      </c>
      <c r="E9" s="299">
        <v>12</v>
      </c>
      <c r="F9" s="299">
        <v>10</v>
      </c>
      <c r="G9" s="299">
        <v>200</v>
      </c>
      <c r="H9" s="299">
        <v>2400</v>
      </c>
      <c r="I9" s="299" t="s">
        <v>157</v>
      </c>
      <c r="J9" s="299" t="s">
        <v>157</v>
      </c>
      <c r="K9" s="307">
        <v>17.2</v>
      </c>
      <c r="L9" s="302">
        <v>0.35</v>
      </c>
      <c r="M9" s="334">
        <v>1</v>
      </c>
      <c r="N9" s="334">
        <v>12</v>
      </c>
      <c r="O9" s="307">
        <f t="shared" ref="O9:O14" si="0">K9*(1-L9)</f>
        <v>11.18</v>
      </c>
      <c r="P9" s="303">
        <f>K9</f>
        <v>17.2</v>
      </c>
      <c r="Q9" s="300">
        <f>(P9/1.1-O9)/O9</f>
        <v>0.39860139860139848</v>
      </c>
      <c r="R9" s="297"/>
    </row>
    <row r="10" spans="1:18" x14ac:dyDescent="0.35">
      <c r="A10" s="306" t="s">
        <v>161</v>
      </c>
      <c r="B10" s="299" t="s">
        <v>162</v>
      </c>
      <c r="C10" s="300">
        <v>0.1</v>
      </c>
      <c r="D10" s="299">
        <v>986129284</v>
      </c>
      <c r="E10" s="299">
        <v>12</v>
      </c>
      <c r="F10" s="299">
        <v>9</v>
      </c>
      <c r="G10" s="299">
        <v>189</v>
      </c>
      <c r="H10" s="299">
        <v>2268</v>
      </c>
      <c r="I10" s="299" t="s">
        <v>157</v>
      </c>
      <c r="J10" s="299" t="s">
        <v>157</v>
      </c>
      <c r="K10" s="307">
        <v>21.3</v>
      </c>
      <c r="L10" s="302">
        <v>0.35</v>
      </c>
      <c r="M10" s="334">
        <v>1</v>
      </c>
      <c r="N10" s="334">
        <v>12</v>
      </c>
      <c r="O10" s="307">
        <f t="shared" si="0"/>
        <v>13.845000000000001</v>
      </c>
      <c r="P10" s="303">
        <f t="shared" ref="P10:P13" si="1">K10</f>
        <v>21.3</v>
      </c>
      <c r="Q10" s="300">
        <f>(P10/1.1-O10)/O10</f>
        <v>0.39860139860139854</v>
      </c>
      <c r="R10" s="297"/>
    </row>
    <row r="11" spans="1:18" x14ac:dyDescent="0.35">
      <c r="A11" s="306" t="s">
        <v>163</v>
      </c>
      <c r="B11" s="299" t="s">
        <v>162</v>
      </c>
      <c r="C11" s="300">
        <v>0.1</v>
      </c>
      <c r="D11" s="299">
        <v>986736369</v>
      </c>
      <c r="E11" s="299">
        <v>12</v>
      </c>
      <c r="F11" s="299">
        <v>9</v>
      </c>
      <c r="G11" s="299">
        <v>189</v>
      </c>
      <c r="H11" s="299">
        <v>2268</v>
      </c>
      <c r="I11" s="299" t="s">
        <v>157</v>
      </c>
      <c r="J11" s="299" t="s">
        <v>157</v>
      </c>
      <c r="K11" s="307">
        <v>21.4</v>
      </c>
      <c r="L11" s="302">
        <v>0.35</v>
      </c>
      <c r="M11" s="334">
        <v>1</v>
      </c>
      <c r="N11" s="334">
        <v>12</v>
      </c>
      <c r="O11" s="307">
        <f t="shared" si="0"/>
        <v>13.91</v>
      </c>
      <c r="P11" s="303">
        <f t="shared" si="1"/>
        <v>21.4</v>
      </c>
      <c r="Q11" s="300">
        <f>(P11/1.1-O11)/O11</f>
        <v>0.39860139860139848</v>
      </c>
      <c r="R11" s="297"/>
    </row>
    <row r="12" spans="1:18" x14ac:dyDescent="0.35">
      <c r="A12" s="343" t="s">
        <v>164</v>
      </c>
      <c r="B12" s="299" t="s">
        <v>165</v>
      </c>
      <c r="C12" s="300">
        <v>0.1</v>
      </c>
      <c r="D12" s="299">
        <v>987314515</v>
      </c>
      <c r="E12" s="299">
        <v>12</v>
      </c>
      <c r="F12" s="299">
        <v>9</v>
      </c>
      <c r="G12" s="299">
        <v>144</v>
      </c>
      <c r="H12" s="299">
        <v>1728</v>
      </c>
      <c r="I12" s="299" t="s">
        <v>157</v>
      </c>
      <c r="J12" s="299" t="s">
        <v>157</v>
      </c>
      <c r="K12" s="344">
        <v>22.45</v>
      </c>
      <c r="L12" s="302">
        <v>0.35</v>
      </c>
      <c r="M12" s="334">
        <v>1</v>
      </c>
      <c r="N12" s="334">
        <v>12</v>
      </c>
      <c r="O12" s="307">
        <f t="shared" si="0"/>
        <v>14.592499999999999</v>
      </c>
      <c r="P12" s="303">
        <f t="shared" si="1"/>
        <v>22.45</v>
      </c>
      <c r="Q12" s="300">
        <f t="shared" ref="Q12:Q13" si="2">(P12/1.1-O12)/O12</f>
        <v>0.39860139860139848</v>
      </c>
      <c r="R12" s="297"/>
    </row>
    <row r="13" spans="1:18" x14ac:dyDescent="0.35">
      <c r="A13" s="343" t="s">
        <v>166</v>
      </c>
      <c r="B13" s="299" t="s">
        <v>167</v>
      </c>
      <c r="C13" s="300">
        <v>0.1</v>
      </c>
      <c r="D13" s="299">
        <v>989242641</v>
      </c>
      <c r="E13" s="299">
        <v>12</v>
      </c>
      <c r="F13" s="299">
        <v>9</v>
      </c>
      <c r="G13" s="299">
        <v>189</v>
      </c>
      <c r="H13" s="299">
        <v>2268</v>
      </c>
      <c r="I13" s="299" t="s">
        <v>157</v>
      </c>
      <c r="J13" s="299" t="s">
        <v>157</v>
      </c>
      <c r="K13" s="344">
        <v>24.9</v>
      </c>
      <c r="L13" s="302">
        <v>0.35</v>
      </c>
      <c r="M13" s="334">
        <v>1</v>
      </c>
      <c r="N13" s="334">
        <v>12</v>
      </c>
      <c r="O13" s="307">
        <f t="shared" si="0"/>
        <v>16.184999999999999</v>
      </c>
      <c r="P13" s="303">
        <f t="shared" si="1"/>
        <v>24.9</v>
      </c>
      <c r="Q13" s="300">
        <f t="shared" si="2"/>
        <v>0.39860139860139854</v>
      </c>
      <c r="R13" s="297"/>
    </row>
    <row r="14" spans="1:18" x14ac:dyDescent="0.35">
      <c r="A14" s="306" t="s">
        <v>168</v>
      </c>
      <c r="B14" s="299" t="s">
        <v>169</v>
      </c>
      <c r="C14" s="300">
        <v>0.1</v>
      </c>
      <c r="D14" s="299">
        <v>950247953</v>
      </c>
      <c r="E14" s="299">
        <v>12</v>
      </c>
      <c r="F14" s="299">
        <v>10</v>
      </c>
      <c r="G14" s="299">
        <v>200</v>
      </c>
      <c r="H14" s="299">
        <v>2400</v>
      </c>
      <c r="I14" s="299" t="s">
        <v>157</v>
      </c>
      <c r="J14" s="299" t="s">
        <v>157</v>
      </c>
      <c r="K14" s="307">
        <v>21</v>
      </c>
      <c r="L14" s="302">
        <v>0.35</v>
      </c>
      <c r="M14" s="334">
        <v>1</v>
      </c>
      <c r="N14" s="334">
        <v>12</v>
      </c>
      <c r="O14" s="307">
        <f t="shared" si="0"/>
        <v>13.65</v>
      </c>
      <c r="P14" s="303">
        <f>K14</f>
        <v>21</v>
      </c>
      <c r="Q14" s="300">
        <f>(P14/1.1-O14)/O14</f>
        <v>0.39860139860139848</v>
      </c>
      <c r="R14" s="297"/>
    </row>
    <row r="16" spans="1:18" x14ac:dyDescent="0.35">
      <c r="A16" s="438" t="s">
        <v>170</v>
      </c>
      <c r="B16" s="435" t="s">
        <v>171</v>
      </c>
      <c r="C16" s="439">
        <v>0.1</v>
      </c>
      <c r="D16" s="435">
        <v>950247940</v>
      </c>
      <c r="E16" s="432">
        <v>12</v>
      </c>
      <c r="F16" s="430">
        <v>9</v>
      </c>
      <c r="G16" s="432">
        <v>189</v>
      </c>
      <c r="H16" s="432">
        <v>2268</v>
      </c>
      <c r="I16" s="427" t="s">
        <v>157</v>
      </c>
      <c r="J16" s="427" t="s">
        <v>157</v>
      </c>
      <c r="K16" s="428">
        <v>22</v>
      </c>
      <c r="L16" s="341">
        <v>0.46</v>
      </c>
      <c r="M16" s="334">
        <v>1</v>
      </c>
      <c r="N16" s="334">
        <f>+M16*E16</f>
        <v>12</v>
      </c>
      <c r="O16" s="345">
        <f>K16*(1-L16)</f>
        <v>11.88</v>
      </c>
      <c r="P16" s="303">
        <f>K16</f>
        <v>22</v>
      </c>
      <c r="Q16" s="300">
        <f>(P16/1.1-O16)/O16</f>
        <v>0.68350168350168339</v>
      </c>
      <c r="R16" s="429" t="s">
        <v>102</v>
      </c>
    </row>
    <row r="17" spans="1:18" x14ac:dyDescent="0.35">
      <c r="A17" s="438"/>
      <c r="B17" s="435"/>
      <c r="C17" s="439"/>
      <c r="D17" s="435"/>
      <c r="E17" s="433"/>
      <c r="F17" s="431"/>
      <c r="G17" s="433">
        <v>189</v>
      </c>
      <c r="H17" s="433">
        <v>2268</v>
      </c>
      <c r="I17" s="427" t="s">
        <v>157</v>
      </c>
      <c r="J17" s="427" t="s">
        <v>157</v>
      </c>
      <c r="K17" s="428"/>
      <c r="L17" s="341">
        <v>0.47399999999999998</v>
      </c>
      <c r="M17" s="334">
        <v>2</v>
      </c>
      <c r="N17" s="334">
        <f>+M17*E16</f>
        <v>24</v>
      </c>
      <c r="O17" s="345">
        <f>K16*(1-L17)</f>
        <v>11.572000000000001</v>
      </c>
      <c r="P17" s="303">
        <f>K16</f>
        <v>22</v>
      </c>
      <c r="Q17" s="300">
        <f>(P17/1.1-O17)/O17</f>
        <v>0.72830971310058745</v>
      </c>
      <c r="R17" s="429"/>
    </row>
    <row r="18" spans="1:18" x14ac:dyDescent="0.35">
      <c r="A18" s="98"/>
      <c r="B18" s="297"/>
      <c r="C18" s="297"/>
      <c r="D18" s="297"/>
      <c r="E18" s="297"/>
      <c r="F18" s="297"/>
      <c r="G18" s="297"/>
      <c r="H18" s="297"/>
      <c r="I18" s="297"/>
      <c r="J18" s="297"/>
      <c r="K18" s="317"/>
      <c r="L18" s="317"/>
      <c r="M18" s="317"/>
      <c r="N18" s="317"/>
      <c r="O18" s="317"/>
      <c r="P18" s="317"/>
      <c r="Q18" s="317"/>
      <c r="R18" s="297"/>
    </row>
    <row r="19" spans="1:18" x14ac:dyDescent="0.35">
      <c r="Q19" s="297"/>
      <c r="R19" s="297"/>
    </row>
    <row r="20" spans="1:18" x14ac:dyDescent="0.35">
      <c r="Q20" s="317"/>
      <c r="R20" s="297"/>
    </row>
  </sheetData>
  <mergeCells count="25">
    <mergeCell ref="A16:A17"/>
    <mergeCell ref="B16:B17"/>
    <mergeCell ref="C16:C17"/>
    <mergeCell ref="D16:D17"/>
    <mergeCell ref="A2:Q2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R5:R7"/>
    <mergeCell ref="J16:J17"/>
    <mergeCell ref="K16:K17"/>
    <mergeCell ref="R16:R17"/>
    <mergeCell ref="F16:F17"/>
    <mergeCell ref="E16:E17"/>
    <mergeCell ref="G16:G17"/>
    <mergeCell ref="H16:H17"/>
    <mergeCell ref="I16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listino baby care </vt:lpstr>
      <vt:lpstr>listino salviette</vt:lpstr>
      <vt:lpstr>listino latte </vt:lpstr>
      <vt:lpstr>listino integratori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Rosso Francesca</dc:creator>
  <cp:lastModifiedBy>Rosso Francesca</cp:lastModifiedBy>
  <dcterms:created xsi:type="dcterms:W3CDTF">2015-06-05T18:17:20Z</dcterms:created>
  <dcterms:modified xsi:type="dcterms:W3CDTF">2025-03-28T16:28:08Z</dcterms:modified>
</cp:coreProperties>
</file>